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62326" yWindow="65476" windowWidth="15480" windowHeight="8895" tabRatio="855" activeTab="0"/>
  </bookViews>
  <sheets>
    <sheet name="Boat Data Entry" sheetId="1" r:id="rId1"/>
    <sheet name="Data Table" sheetId="2" state="hidden" r:id="rId2"/>
    <sheet name="Screen No" sheetId="3" r:id="rId3"/>
    <sheet name="Motion Comfort" sheetId="4" r:id="rId4"/>
    <sheet name="% Ballast Disp Ratio" sheetId="5" r:id="rId5"/>
    <sheet name="Hull Speed" sheetId="6" r:id="rId6"/>
    <sheet name="Disp Length Ratio" sheetId="7" r:id="rId7"/>
    <sheet name="Sail Area Disp Ratio" sheetId="8" r:id="rId8"/>
  </sheets>
  <definedNames/>
  <calcPr fullCalcOnLoad="1"/>
</workbook>
</file>

<file path=xl/sharedStrings.xml><?xml version="1.0" encoding="utf-8"?>
<sst xmlns="http://schemas.openxmlformats.org/spreadsheetml/2006/main" count="54" uniqueCount="51">
  <si>
    <t>Bavaria 46</t>
  </si>
  <si>
    <t>Beneteau 50</t>
  </si>
  <si>
    <t>Jeanneau 47 cc</t>
  </si>
  <si>
    <t>Francini 45L</t>
  </si>
  <si>
    <t>Francini 45S</t>
  </si>
  <si>
    <t>NorthWind 47</t>
  </si>
  <si>
    <t>Westerly Oceanmaster 48</t>
  </si>
  <si>
    <t>Screen Number</t>
  </si>
  <si>
    <t>Motion Comfort</t>
  </si>
  <si>
    <t>% Ballast/ Disp Ratio</t>
  </si>
  <si>
    <t>Hull Speed</t>
  </si>
  <si>
    <t>Disp/ Length</t>
  </si>
  <si>
    <t>Sail Area/ Disp</t>
  </si>
  <si>
    <t>LOA</t>
  </si>
  <si>
    <t>LWL</t>
  </si>
  <si>
    <t>BEAM</t>
  </si>
  <si>
    <t>DRAFT</t>
  </si>
  <si>
    <t>Beneteau Oceanis 500</t>
  </si>
  <si>
    <t>Alden 50</t>
  </si>
  <si>
    <t>Jeanneau 45DS</t>
  </si>
  <si>
    <t xml:space="preserve">Ft </t>
  </si>
  <si>
    <t>Inches</t>
  </si>
  <si>
    <t>Passport Vista 515</t>
  </si>
  <si>
    <t>Island Packet 485</t>
  </si>
  <si>
    <t>M</t>
  </si>
  <si>
    <t>KG</t>
  </si>
  <si>
    <t>LBS</t>
  </si>
  <si>
    <t>BALLAST [lbs</t>
  </si>
  <si>
    <t>DISP    [lbs]</t>
  </si>
  <si>
    <t>SAIL AREA [ft2]</t>
  </si>
  <si>
    <t>Ft</t>
  </si>
  <si>
    <t>Beneteau 44cc</t>
  </si>
  <si>
    <t>Norseman 447cc</t>
  </si>
  <si>
    <t>Taswell 49</t>
  </si>
  <si>
    <t>FD12</t>
  </si>
  <si>
    <t>Moody 425cc</t>
  </si>
  <si>
    <t>Hylas 44 cc</t>
  </si>
  <si>
    <t>Moody 47 cc</t>
  </si>
  <si>
    <t>Bruce Roberts 45</t>
  </si>
  <si>
    <t>Tayana 52 cc</t>
  </si>
  <si>
    <t>Morgan 45</t>
  </si>
  <si>
    <t>Tayana 47</t>
  </si>
  <si>
    <t>Benetteau Oceanis 430</t>
  </si>
  <si>
    <t>Benetteau Oceanis 510</t>
  </si>
  <si>
    <t>Kelly Peterson 46</t>
  </si>
  <si>
    <t>Celestial Custom 48</t>
  </si>
  <si>
    <t>Tayana 48</t>
  </si>
  <si>
    <t>entry cells</t>
  </si>
  <si>
    <t>calculated</t>
  </si>
  <si>
    <t>DRAFT [less keel]</t>
  </si>
  <si>
    <t>Decimal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</si>
</sst>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.75"/>
      <name val="Arial"/>
      <family val="2"/>
    </font>
    <font>
      <sz val="14.5"/>
      <name val="Arial"/>
      <family val="0"/>
    </font>
    <font>
      <sz val="20"/>
      <name val="Arial"/>
      <family val="0"/>
    </font>
    <font>
      <sz val="18.25"/>
      <name val="Arial"/>
      <family val="0"/>
    </font>
    <font>
      <sz val="20.25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20"/>
      <name val="Arial"/>
      <family val="2"/>
    </font>
    <font>
      <b/>
      <sz val="18.25"/>
      <name val="Arial"/>
      <family val="2"/>
    </font>
    <font>
      <b/>
      <sz val="20.25"/>
      <name val="Arial"/>
      <family val="2"/>
    </font>
    <font>
      <sz val="10"/>
      <color indexed="9"/>
      <name val="Arial"/>
      <family val="2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155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0" borderId="1" xfId="0" applyFont="1" applyBorder="1" applyAlignment="1" applyProtection="1">
      <alignment horizontal="center" wrapText="1"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4" borderId="1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405"/>
          <c:w val="0.971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Table'!$E$2</c:f>
              <c:strCache>
                <c:ptCount val="1"/>
                <c:pt idx="0">
                  <c:v>Screen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Table'!$E$3:$E$39</c:f>
              <c:numCache>
                <c:ptCount val="37"/>
                <c:pt idx="0">
                  <c:v>2.0015813726309286</c:v>
                </c:pt>
                <c:pt idx="1">
                  <c:v>1.8738054579020682</c:v>
                </c:pt>
                <c:pt idx="2">
                  <c:v>2.0390405424973164</c:v>
                </c:pt>
                <c:pt idx="3">
                  <c:v>1.9333913714031827</c:v>
                </c:pt>
                <c:pt idx="4">
                  <c:v>1.6959962490106528</c:v>
                </c:pt>
                <c:pt idx="5">
                  <c:v>1.7354162466965624</c:v>
                </c:pt>
                <c:pt idx="6">
                  <c:v>1.9613038077448381</c:v>
                </c:pt>
                <c:pt idx="7">
                  <c:v>1.9890739431452158</c:v>
                </c:pt>
                <c:pt idx="8">
                  <c:v>1.6508378271575515</c:v>
                </c:pt>
                <c:pt idx="9">
                  <c:v>2.0175557183128463</c:v>
                </c:pt>
                <c:pt idx="10">
                  <c:v>1.7967519664602345</c:v>
                </c:pt>
                <c:pt idx="11">
                  <c:v>1.7349697625575686</c:v>
                </c:pt>
                <c:pt idx="12">
                  <c:v>1.9503357831011336</c:v>
                </c:pt>
                <c:pt idx="13">
                  <c:v>1.712447765621709</c:v>
                </c:pt>
                <c:pt idx="14">
                  <c:v>1.8898815748423106</c:v>
                </c:pt>
                <c:pt idx="15">
                  <c:v>1.7183458070642066</c:v>
                </c:pt>
                <c:pt idx="16">
                  <c:v>1.9049884219657902</c:v>
                </c:pt>
                <c:pt idx="17">
                  <c:v>1.916140995752087</c:v>
                </c:pt>
                <c:pt idx="18">
                  <c:v>1.7827928002389084</c:v>
                </c:pt>
                <c:pt idx="19">
                  <c:v>1.751563146516252</c:v>
                </c:pt>
                <c:pt idx="20">
                  <c:v>1.7758299275821383</c:v>
                </c:pt>
                <c:pt idx="21">
                  <c:v>1.8753642430051771</c:v>
                </c:pt>
                <c:pt idx="22">
                  <c:v>2.0246149211038538</c:v>
                </c:pt>
                <c:pt idx="23">
                  <c:v>2.0391744353901378</c:v>
                </c:pt>
                <c:pt idx="24">
                  <c:v>1.9894729917814786</c:v>
                </c:pt>
                <c:pt idx="25">
                  <c:v>1.657328999424445</c:v>
                </c:pt>
                <c:pt idx="26">
                  <c:v>1.8000000000000003</c:v>
                </c:pt>
                <c:pt idx="27">
                  <c:v>1.7731221106507036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Table'!$F$2</c:f>
              <c:strCache>
                <c:ptCount val="1"/>
                <c:pt idx="0">
                  <c:v>Motion Comfort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Table'!$F$3:$F$39</c:f>
              <c:numCache>
                <c:ptCount val="37"/>
                <c:pt idx="0">
                  <c:v>24.1</c:v>
                </c:pt>
                <c:pt idx="1">
                  <c:v>26.4</c:v>
                </c:pt>
                <c:pt idx="2">
                  <c:v>23</c:v>
                </c:pt>
                <c:pt idx="3">
                  <c:v>27.2</c:v>
                </c:pt>
                <c:pt idx="4">
                  <c:v>38.1</c:v>
                </c:pt>
                <c:pt idx="5">
                  <c:v>35.6</c:v>
                </c:pt>
                <c:pt idx="6">
                  <c:v>26.6</c:v>
                </c:pt>
                <c:pt idx="7">
                  <c:v>24.9</c:v>
                </c:pt>
                <c:pt idx="8">
                  <c:v>38.2</c:v>
                </c:pt>
                <c:pt idx="9">
                  <c:v>24.1</c:v>
                </c:pt>
                <c:pt idx="10">
                  <c:v>31.8</c:v>
                </c:pt>
                <c:pt idx="11">
                  <c:v>36.5</c:v>
                </c:pt>
                <c:pt idx="12">
                  <c:v>24.4</c:v>
                </c:pt>
                <c:pt idx="13">
                  <c:v>33.4</c:v>
                </c:pt>
                <c:pt idx="14">
                  <c:v>28.7</c:v>
                </c:pt>
                <c:pt idx="15">
                  <c:v>34.3</c:v>
                </c:pt>
                <c:pt idx="16">
                  <c:v>27.3</c:v>
                </c:pt>
                <c:pt idx="17">
                  <c:v>26.8</c:v>
                </c:pt>
                <c:pt idx="18">
                  <c:v>33.6</c:v>
                </c:pt>
                <c:pt idx="19">
                  <c:v>32.6</c:v>
                </c:pt>
                <c:pt idx="20">
                  <c:v>33.3</c:v>
                </c:pt>
                <c:pt idx="21">
                  <c:v>27.7</c:v>
                </c:pt>
                <c:pt idx="22">
                  <c:v>23</c:v>
                </c:pt>
                <c:pt idx="23">
                  <c:v>22.7</c:v>
                </c:pt>
                <c:pt idx="24">
                  <c:v>24.8</c:v>
                </c:pt>
                <c:pt idx="25">
                  <c:v>36</c:v>
                </c:pt>
                <c:pt idx="26">
                  <c:v>29.1</c:v>
                </c:pt>
                <c:pt idx="27">
                  <c:v>33.6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Table'!$G$2</c:f>
              <c:strCache>
                <c:ptCount val="1"/>
                <c:pt idx="0">
                  <c:v>% Ballast/ Disp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Table'!$G$3:$G$39</c:f>
              <c:numCache>
                <c:ptCount val="37"/>
                <c:pt idx="0">
                  <c:v>38.3</c:v>
                </c:pt>
                <c:pt idx="1">
                  <c:v>30.1</c:v>
                </c:pt>
                <c:pt idx="2">
                  <c:v>37.6</c:v>
                </c:pt>
                <c:pt idx="3">
                  <c:v>35.4</c:v>
                </c:pt>
                <c:pt idx="4">
                  <c:v>35.3</c:v>
                </c:pt>
                <c:pt idx="5">
                  <c:v>35.7</c:v>
                </c:pt>
                <c:pt idx="6">
                  <c:v>39.2</c:v>
                </c:pt>
                <c:pt idx="7">
                  <c:v>41.7</c:v>
                </c:pt>
                <c:pt idx="8">
                  <c:v>37.1</c:v>
                </c:pt>
                <c:pt idx="9">
                  <c:v>28.4</c:v>
                </c:pt>
                <c:pt idx="10">
                  <c:v>36.9</c:v>
                </c:pt>
                <c:pt idx="11">
                  <c:v>36.2</c:v>
                </c:pt>
                <c:pt idx="12">
                  <c:v>29.2</c:v>
                </c:pt>
                <c:pt idx="13">
                  <c:v>42.9</c:v>
                </c:pt>
                <c:pt idx="14">
                  <c:v>40.6</c:v>
                </c:pt>
                <c:pt idx="15">
                  <c:v>39.3</c:v>
                </c:pt>
                <c:pt idx="16">
                  <c:v>38.6</c:v>
                </c:pt>
                <c:pt idx="17">
                  <c:v>49.3</c:v>
                </c:pt>
                <c:pt idx="18">
                  <c:v>30.7</c:v>
                </c:pt>
                <c:pt idx="19">
                  <c:v>43.3</c:v>
                </c:pt>
                <c:pt idx="20">
                  <c:v>38.4</c:v>
                </c:pt>
                <c:pt idx="21">
                  <c:v>33.7</c:v>
                </c:pt>
                <c:pt idx="22">
                  <c:v>48.6</c:v>
                </c:pt>
                <c:pt idx="23">
                  <c:v>35.6</c:v>
                </c:pt>
                <c:pt idx="24">
                  <c:v>35</c:v>
                </c:pt>
                <c:pt idx="25">
                  <c:v>34</c:v>
                </c:pt>
                <c:pt idx="26">
                  <c:v>43.7</c:v>
                </c:pt>
                <c:pt idx="27">
                  <c:v>33.4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Table'!$H$2</c:f>
              <c:strCache>
                <c:ptCount val="1"/>
                <c:pt idx="0">
                  <c:v>Hull Speed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Table'!$H$3:$H$39</c:f>
              <c:numCache>
                <c:ptCount val="37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8.3</c:v>
                </c:pt>
                <c:pt idx="4">
                  <c:v>8</c:v>
                </c:pt>
                <c:pt idx="5">
                  <c:v>8</c:v>
                </c:pt>
                <c:pt idx="6">
                  <c:v>8.2</c:v>
                </c:pt>
                <c:pt idx="7">
                  <c:v>8.7</c:v>
                </c:pt>
                <c:pt idx="8">
                  <c:v>8.2</c:v>
                </c:pt>
                <c:pt idx="9">
                  <c:v>8.2</c:v>
                </c:pt>
                <c:pt idx="10">
                  <c:v>8.9</c:v>
                </c:pt>
                <c:pt idx="11">
                  <c:v>8.8</c:v>
                </c:pt>
                <c:pt idx="12">
                  <c:v>8.5</c:v>
                </c:pt>
                <c:pt idx="13">
                  <c:v>8.2</c:v>
                </c:pt>
                <c:pt idx="14">
                  <c:v>8.5</c:v>
                </c:pt>
                <c:pt idx="15">
                  <c:v>8.7</c:v>
                </c:pt>
                <c:pt idx="16">
                  <c:v>7.8</c:v>
                </c:pt>
                <c:pt idx="17">
                  <c:v>7.9</c:v>
                </c:pt>
                <c:pt idx="18">
                  <c:v>8.4</c:v>
                </c:pt>
                <c:pt idx="19">
                  <c:v>7.7</c:v>
                </c:pt>
                <c:pt idx="20">
                  <c:v>8.7</c:v>
                </c:pt>
                <c:pt idx="21">
                  <c:v>8.2</c:v>
                </c:pt>
                <c:pt idx="22">
                  <c:v>8.5</c:v>
                </c:pt>
                <c:pt idx="23">
                  <c:v>8.1</c:v>
                </c:pt>
                <c:pt idx="24">
                  <c:v>8.9</c:v>
                </c:pt>
                <c:pt idx="25">
                  <c:v>8.6</c:v>
                </c:pt>
                <c:pt idx="26">
                  <c:v>8.4</c:v>
                </c:pt>
                <c:pt idx="27">
                  <c:v>8.5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Table'!$I$2</c:f>
              <c:strCache>
                <c:ptCount val="1"/>
                <c:pt idx="0">
                  <c:v>Disp/ Length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Table'!$I$3:$I$39</c:f>
              <c:numCache>
                <c:ptCount val="37"/>
                <c:pt idx="0">
                  <c:v>176</c:v>
                </c:pt>
                <c:pt idx="1">
                  <c:v>147</c:v>
                </c:pt>
                <c:pt idx="2">
                  <c:v>145</c:v>
                </c:pt>
                <c:pt idx="3">
                  <c:v>217</c:v>
                </c:pt>
                <c:pt idx="4">
                  <c:v>328</c:v>
                </c:pt>
                <c:pt idx="5">
                  <c:v>306</c:v>
                </c:pt>
                <c:pt idx="6">
                  <c:v>227</c:v>
                </c:pt>
                <c:pt idx="7">
                  <c:v>171</c:v>
                </c:pt>
                <c:pt idx="8">
                  <c:v>306</c:v>
                </c:pt>
                <c:pt idx="9">
                  <c:v>193</c:v>
                </c:pt>
                <c:pt idx="10">
                  <c:v>199</c:v>
                </c:pt>
                <c:pt idx="11">
                  <c:v>244</c:v>
                </c:pt>
                <c:pt idx="12">
                  <c:v>163</c:v>
                </c:pt>
                <c:pt idx="13">
                  <c:v>237</c:v>
                </c:pt>
                <c:pt idx="14">
                  <c:v>212</c:v>
                </c:pt>
                <c:pt idx="15">
                  <c:v>220</c:v>
                </c:pt>
                <c:pt idx="16">
                  <c:v>242</c:v>
                </c:pt>
                <c:pt idx="17">
                  <c:v>237</c:v>
                </c:pt>
                <c:pt idx="18">
                  <c:v>247</c:v>
                </c:pt>
                <c:pt idx="19">
                  <c:v>307</c:v>
                </c:pt>
                <c:pt idx="20">
                  <c:v>231</c:v>
                </c:pt>
                <c:pt idx="21">
                  <c:v>209</c:v>
                </c:pt>
                <c:pt idx="22">
                  <c:v>164</c:v>
                </c:pt>
                <c:pt idx="23">
                  <c:v>188</c:v>
                </c:pt>
                <c:pt idx="24">
                  <c:v>155</c:v>
                </c:pt>
                <c:pt idx="25">
                  <c:v>219</c:v>
                </c:pt>
                <c:pt idx="26">
                  <c:v>203</c:v>
                </c:pt>
                <c:pt idx="27">
                  <c:v>241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Table'!$J$2</c:f>
              <c:strCache>
                <c:ptCount val="1"/>
                <c:pt idx="0">
                  <c:v>Sail Area/ Disp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Table'!$D$3:$D$39</c:f>
              <c:strCache>
                <c:ptCount val="37"/>
                <c:pt idx="0">
                  <c:v>Bavaria 46</c:v>
                </c:pt>
                <c:pt idx="1">
                  <c:v>Beneteau 50</c:v>
                </c:pt>
                <c:pt idx="2">
                  <c:v>Beneteau Oceanis 500</c:v>
                </c:pt>
                <c:pt idx="3">
                  <c:v>Jeanneau 47 cc</c:v>
                </c:pt>
                <c:pt idx="4">
                  <c:v>Francini 45L</c:v>
                </c:pt>
                <c:pt idx="5">
                  <c:v>Francini 45S</c:v>
                </c:pt>
                <c:pt idx="6">
                  <c:v>NorthWind 47</c:v>
                </c:pt>
                <c:pt idx="7">
                  <c:v>Westerly Oceanmaster 48</c:v>
                </c:pt>
                <c:pt idx="8">
                  <c:v>Alden 50</c:v>
                </c:pt>
                <c:pt idx="9">
                  <c:v>Jeanneau 45DS</c:v>
                </c:pt>
                <c:pt idx="10">
                  <c:v>Passport Vista 515</c:v>
                </c:pt>
                <c:pt idx="11">
                  <c:v>Island Packet 485</c:v>
                </c:pt>
                <c:pt idx="12">
                  <c:v>Beneteau 44cc</c:v>
                </c:pt>
                <c:pt idx="13">
                  <c:v>Norseman 447cc</c:v>
                </c:pt>
                <c:pt idx="14">
                  <c:v>Taswell 49</c:v>
                </c:pt>
                <c:pt idx="15">
                  <c:v>FD12</c:v>
                </c:pt>
                <c:pt idx="16">
                  <c:v>Moody 425cc</c:v>
                </c:pt>
                <c:pt idx="17">
                  <c:v>Hylas 44 cc</c:v>
                </c:pt>
                <c:pt idx="18">
                  <c:v>Moody 47 cc</c:v>
                </c:pt>
                <c:pt idx="19">
                  <c:v>Bruce Roberts 45</c:v>
                </c:pt>
                <c:pt idx="20">
                  <c:v>Tayana 52 cc</c:v>
                </c:pt>
                <c:pt idx="21">
                  <c:v>Morgan 45</c:v>
                </c:pt>
                <c:pt idx="22">
                  <c:v>Tayana 47</c:v>
                </c:pt>
                <c:pt idx="23">
                  <c:v>Benetteau Oceanis 430</c:v>
                </c:pt>
                <c:pt idx="24">
                  <c:v>Benetteau Oceanis 510</c:v>
                </c:pt>
                <c:pt idx="25">
                  <c:v>Kelly Peterson 46</c:v>
                </c:pt>
                <c:pt idx="26">
                  <c:v>Celestial Custom 48</c:v>
                </c:pt>
                <c:pt idx="27">
                  <c:v>Tayana 48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'Data Table'!$J$3:$J$39</c:f>
              <c:numCache>
                <c:ptCount val="37"/>
                <c:pt idx="0">
                  <c:v>26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18</c:v>
                </c:pt>
                <c:pt idx="8">
                  <c:v>15</c:v>
                </c:pt>
                <c:pt idx="9">
                  <c:v>22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0</c:v>
                </c:pt>
                <c:pt idx="17">
                  <c:v>17</c:v>
                </c:pt>
                <c:pt idx="18">
                  <c:v>15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0</c:v>
                </c:pt>
                <c:pt idx="23">
                  <c:v>22</c:v>
                </c:pt>
                <c:pt idx="24">
                  <c:v>19</c:v>
                </c:pt>
                <c:pt idx="25">
                  <c:v>17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17</xdr:col>
      <xdr:colOff>9525</xdr:colOff>
      <xdr:row>11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05600" y="0"/>
          <a:ext cx="36671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Screen Number:
The Screen Number is computed by dividing the maximum beam by the cube root of displacement (lbs.) divided by 64 (weight cubic ft sea water) or beam/((weight/64))^1/3. The Screen Number was devised by The United States Yacht Racing Union and The Society of Naval Architects &amp; Marine Engineers Joint Committee on Safety From Capsizing, June 1985.
It is an indicator of a vessels ability to resist capsizing. Less then 2.0 is good coefficient for cruising yachts.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9525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28575" y="0"/>
        <a:ext cx="6686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66675</xdr:rowOff>
    </xdr:from>
    <xdr:to>
      <xdr:col>22</xdr:col>
      <xdr:colOff>28575</xdr:colOff>
      <xdr:row>11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48850" y="66675"/>
          <a:ext cx="35909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Motion Comfort:
The Motion Comfort ratio, created by Naval Architect Ted Brewer is computed as: displacement/(2/3 * ((7/10 * LWL) + (1/3 * LOA)) * BEAM^4/3). This relates displacement, length and size to comfort,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the higher values represent greater comfort.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Length Over All is not the deciding factor, some smaller boats can have a Motion Comfort Ratio equal to their larger sisters.
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15</xdr:col>
      <xdr:colOff>600075</xdr:colOff>
      <xdr:row>33</xdr:row>
      <xdr:rowOff>28575</xdr:rowOff>
    </xdr:to>
    <xdr:graphicFrame>
      <xdr:nvGraphicFramePr>
        <xdr:cNvPr id="2" name="Chart 3"/>
        <xdr:cNvGraphicFramePr/>
      </xdr:nvGraphicFramePr>
      <xdr:xfrm>
        <a:off x="28575" y="9525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17</xdr:col>
      <xdr:colOff>428625</xdr:colOff>
      <xdr:row>11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53450" y="0"/>
          <a:ext cx="2238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Ballast Displacement:
The Ballast Displacement is a simple ratio of a boats ballast divided by its displacement expressed as a percentage.
This ratio is an indication of a boats stiffness, or its ability to resist healing. A ratio of 33% is average while 40% or more is quite stiff.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13</xdr:col>
      <xdr:colOff>514350</xdr:colOff>
      <xdr:row>33</xdr:row>
      <xdr:rowOff>38100</xdr:rowOff>
    </xdr:to>
    <xdr:graphicFrame>
      <xdr:nvGraphicFramePr>
        <xdr:cNvPr id="2" name="Chart 3"/>
        <xdr:cNvGraphicFramePr/>
      </xdr:nvGraphicFramePr>
      <xdr:xfrm>
        <a:off x="9525" y="19050"/>
        <a:ext cx="8429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0</xdr:rowOff>
    </xdr:from>
    <xdr:to>
      <xdr:col>22</xdr:col>
      <xdr:colOff>76200</xdr:colOff>
      <xdr:row>9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144125" y="0"/>
          <a:ext cx="33432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Hull Speed:
A basic hydrodynamic law states that the speed of a wave in knots is equal to 1.34 times the square root of the wave length in feet. Because wave speed equals boat speed, a longer waterline, which generates longer transverse waves, confers greater speed.
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16</xdr:col>
      <xdr:colOff>371475</xdr:colOff>
      <xdr:row>33</xdr:row>
      <xdr:rowOff>28575</xdr:rowOff>
    </xdr:to>
    <xdr:graphicFrame>
      <xdr:nvGraphicFramePr>
        <xdr:cNvPr id="2" name="Chart 3"/>
        <xdr:cNvGraphicFramePr/>
      </xdr:nvGraphicFramePr>
      <xdr:xfrm>
        <a:off x="9525" y="28575"/>
        <a:ext cx="101155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0</xdr:row>
      <xdr:rowOff>0</xdr:rowOff>
    </xdr:from>
    <xdr:to>
      <xdr:col>22</xdr:col>
      <xdr:colOff>76200</xdr:colOff>
      <xdr:row>17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87000" y="0"/>
          <a:ext cx="320040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Displacement Length:
This ratio is equal to the displacement in long tons (2240 pounds) divided by 0.01 times LWL cubed. 
The lower the Disp/Length, the shallower the waves generated by the hull as it moves through the water and the lower the hull's wave making resistance.
Disadvantages of lighter boats include reduced load-carrying ability and a less dampened motion at sea: disadvantages of heavier boats include poorer light air performance and reduced agility under sail. 
COMPARISON: Ultralight &lt; 100, Light 140 to 175, Moderate 200 to 285, Heavy 300 to 350.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16</xdr:col>
      <xdr:colOff>542925</xdr:colOff>
      <xdr:row>33</xdr:row>
      <xdr:rowOff>19050</xdr:rowOff>
    </xdr:to>
    <xdr:graphicFrame>
      <xdr:nvGraphicFramePr>
        <xdr:cNvPr id="2" name="Chart 3"/>
        <xdr:cNvGraphicFramePr/>
      </xdr:nvGraphicFramePr>
      <xdr:xfrm>
        <a:off x="19050" y="19050"/>
        <a:ext cx="10277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0</xdr:row>
      <xdr:rowOff>0</xdr:rowOff>
    </xdr:from>
    <xdr:to>
      <xdr:col>22</xdr:col>
      <xdr:colOff>142875</xdr:colOff>
      <xdr:row>18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29875" y="0"/>
          <a:ext cx="312420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Sail Area Displacement:
The Sail Area/Displacement Ratio relates sail area in square feet at 100 percent foretriangle to displacement in cubic feet raised to the two-thirds power,or SA(square feet)/((D(cubic feet)/64)^2/3). To determine displacement in cubic feet, divide the boat's displacement in pounds by 64--the weight of a cubic foot of sea water. 
The SA/Disp ratio provides a measure of how powerful a given sail plan is in relation to the displacement of a vessel and its associated wave making resistance. 
In terms of a conventional displacement boat, an SA/D figure of 12 would be considered quite low, while anything over 20 would be considered generous.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17</xdr:col>
      <xdr:colOff>66675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19050"/>
        <a:ext cx="104108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showGridLines="0" tabSelected="1" zoomScale="85" zoomScaleNormal="85" workbookViewId="0" topLeftCell="A1">
      <selection activeCell="J39" sqref="J39"/>
    </sheetView>
  </sheetViews>
  <sheetFormatPr defaultColWidth="9.140625" defaultRowHeight="12.75"/>
  <cols>
    <col min="2" max="2" width="22.28125" style="8" customWidth="1"/>
    <col min="5" max="5" width="12.421875" style="0" bestFit="1" customWidth="1"/>
    <col min="7" max="7" width="11.28125" style="0" customWidth="1"/>
    <col min="9" max="9" width="9.8515625" style="0" customWidth="1"/>
    <col min="10" max="10" width="9.57421875" style="0" bestFit="1" customWidth="1"/>
  </cols>
  <sheetData>
    <row r="1" ht="10.5" customHeight="1"/>
    <row r="2" spans="3:10" ht="18.75" customHeight="1">
      <c r="C2" s="19" t="s">
        <v>13</v>
      </c>
      <c r="D2" s="19" t="s">
        <v>14</v>
      </c>
      <c r="E2" s="19" t="s">
        <v>15</v>
      </c>
      <c r="F2" s="19" t="s">
        <v>16</v>
      </c>
      <c r="G2" s="18"/>
      <c r="H2" s="18"/>
      <c r="I2" s="18"/>
      <c r="J2" s="18"/>
    </row>
    <row r="3" spans="3:18" s="7" customFormat="1" ht="24.75" customHeight="1">
      <c r="C3" s="17" t="s">
        <v>30</v>
      </c>
      <c r="D3" s="17" t="s">
        <v>30</v>
      </c>
      <c r="E3" s="17" t="s">
        <v>30</v>
      </c>
      <c r="F3" s="17" t="s">
        <v>30</v>
      </c>
      <c r="G3" s="19" t="s">
        <v>49</v>
      </c>
      <c r="H3" s="19" t="s">
        <v>28</v>
      </c>
      <c r="I3" s="19" t="s">
        <v>27</v>
      </c>
      <c r="J3" s="19" t="s">
        <v>29</v>
      </c>
      <c r="L3" s="8"/>
      <c r="M3"/>
      <c r="N3" s="22">
        <f>L6*3.281</f>
        <v>6.562</v>
      </c>
      <c r="O3"/>
      <c r="P3"/>
      <c r="Q3"/>
      <c r="R3"/>
    </row>
    <row r="4" spans="2:15" ht="12.75">
      <c r="B4" s="17" t="s">
        <v>0</v>
      </c>
      <c r="C4" s="23">
        <v>47.2</v>
      </c>
      <c r="D4" s="23">
        <v>40.1</v>
      </c>
      <c r="E4" s="23">
        <v>14.7</v>
      </c>
      <c r="F4" s="23">
        <v>6.6</v>
      </c>
      <c r="G4" s="23"/>
      <c r="H4" s="23">
        <v>25352</v>
      </c>
      <c r="I4" s="23">
        <v>9700</v>
      </c>
      <c r="J4" s="23">
        <v>1377</v>
      </c>
      <c r="L4" s="8"/>
      <c r="M4" s="6" t="s">
        <v>20</v>
      </c>
      <c r="N4" s="6" t="s">
        <v>21</v>
      </c>
      <c r="O4" s="4" t="s">
        <v>50</v>
      </c>
    </row>
    <row r="5" spans="2:15" ht="12.75">
      <c r="B5" s="17" t="s">
        <v>1</v>
      </c>
      <c r="C5" s="23">
        <v>50.7</v>
      </c>
      <c r="D5" s="23">
        <v>45.4</v>
      </c>
      <c r="E5" s="23">
        <v>14.7</v>
      </c>
      <c r="F5" s="23">
        <v>5.9</v>
      </c>
      <c r="G5" s="23"/>
      <c r="H5" s="23">
        <v>30900</v>
      </c>
      <c r="I5" s="23">
        <v>9316</v>
      </c>
      <c r="J5" s="23">
        <v>1356</v>
      </c>
      <c r="L5" s="9" t="s">
        <v>24</v>
      </c>
      <c r="M5" s="13">
        <v>6</v>
      </c>
      <c r="N5" s="13">
        <v>8</v>
      </c>
      <c r="O5" s="5">
        <f>ROUND(M5+(N5/12),1)</f>
        <v>6.7</v>
      </c>
    </row>
    <row r="6" spans="2:15" ht="12.75">
      <c r="B6" s="17" t="s">
        <v>17</v>
      </c>
      <c r="C6" s="23">
        <v>50.3</v>
      </c>
      <c r="D6" s="23">
        <v>44.5</v>
      </c>
      <c r="E6" s="23">
        <v>15.6</v>
      </c>
      <c r="F6" s="23">
        <v>5.9</v>
      </c>
      <c r="G6" s="23"/>
      <c r="H6" s="23">
        <v>28660</v>
      </c>
      <c r="I6" s="23">
        <v>10780</v>
      </c>
      <c r="J6" s="23">
        <v>1120</v>
      </c>
      <c r="L6" s="14">
        <v>2</v>
      </c>
      <c r="M6" s="11">
        <f>ROUNDDOWN(N3,0)</f>
        <v>6</v>
      </c>
      <c r="N6" s="11">
        <f>ROUND((N3-ROUNDDOWN(N3,0))*12,0)</f>
        <v>7</v>
      </c>
      <c r="O6" s="12">
        <f>ROUND(M6+(N6/12),1)</f>
        <v>6.6</v>
      </c>
    </row>
    <row r="7" spans="2:10" ht="12.75">
      <c r="B7" s="17" t="s">
        <v>2</v>
      </c>
      <c r="C7" s="23">
        <v>47.2</v>
      </c>
      <c r="D7" s="23">
        <v>38.4</v>
      </c>
      <c r="E7" s="23">
        <v>14.6</v>
      </c>
      <c r="F7" s="23">
        <v>6.9</v>
      </c>
      <c r="G7" s="24"/>
      <c r="H7" s="23">
        <v>27560</v>
      </c>
      <c r="I7" s="23">
        <v>9768</v>
      </c>
      <c r="J7" s="23">
        <v>966</v>
      </c>
    </row>
    <row r="8" spans="2:14" ht="12.75">
      <c r="B8" s="17" t="s">
        <v>3</v>
      </c>
      <c r="C8" s="23">
        <v>44.4</v>
      </c>
      <c r="D8" s="23">
        <v>35.3</v>
      </c>
      <c r="E8" s="23">
        <v>13.5</v>
      </c>
      <c r="F8" s="23">
        <v>6.2</v>
      </c>
      <c r="G8" s="23"/>
      <c r="H8" s="23">
        <v>32278</v>
      </c>
      <c r="I8" s="23">
        <v>11402</v>
      </c>
      <c r="J8" s="23">
        <v>1120</v>
      </c>
      <c r="M8" s="6" t="s">
        <v>25</v>
      </c>
      <c r="N8" s="6" t="s">
        <v>26</v>
      </c>
    </row>
    <row r="9" spans="2:14" ht="12.75">
      <c r="B9" s="17" t="s">
        <v>4</v>
      </c>
      <c r="C9" s="23">
        <v>44.4</v>
      </c>
      <c r="D9" s="23">
        <v>35.3</v>
      </c>
      <c r="E9" s="23">
        <v>13.5</v>
      </c>
      <c r="F9" s="23">
        <v>7.5</v>
      </c>
      <c r="G9" s="23"/>
      <c r="H9" s="23">
        <v>30128</v>
      </c>
      <c r="I9" s="23">
        <v>10752</v>
      </c>
      <c r="J9" s="23">
        <v>1290</v>
      </c>
      <c r="M9" s="15">
        <v>4900</v>
      </c>
      <c r="N9" s="10">
        <f>ROUND(M9*2.204,0)</f>
        <v>10800</v>
      </c>
    </row>
    <row r="10" spans="2:10" ht="12.75">
      <c r="B10" s="17" t="s">
        <v>5</v>
      </c>
      <c r="C10" s="23">
        <v>46.7</v>
      </c>
      <c r="D10" s="23">
        <v>37.3</v>
      </c>
      <c r="E10" s="23">
        <v>14.6</v>
      </c>
      <c r="F10" s="23">
        <v>6.9</v>
      </c>
      <c r="G10" s="23"/>
      <c r="H10" s="23">
        <v>26400</v>
      </c>
      <c r="I10" s="23">
        <v>10340</v>
      </c>
      <c r="J10" s="23">
        <v>1207</v>
      </c>
    </row>
    <row r="11" spans="2:10" ht="24">
      <c r="B11" s="17" t="s">
        <v>6</v>
      </c>
      <c r="C11" s="23">
        <v>48</v>
      </c>
      <c r="D11" s="23">
        <v>41.8</v>
      </c>
      <c r="E11" s="23">
        <v>15.1</v>
      </c>
      <c r="F11" s="23">
        <v>6.9</v>
      </c>
      <c r="G11" s="23"/>
      <c r="H11" s="23">
        <v>28000</v>
      </c>
      <c r="I11" s="23">
        <v>11684</v>
      </c>
      <c r="J11" s="23">
        <v>1009</v>
      </c>
    </row>
    <row r="12" spans="2:14" ht="12.75" customHeight="1">
      <c r="B12" s="17" t="s">
        <v>18</v>
      </c>
      <c r="C12" s="23">
        <v>50.3</v>
      </c>
      <c r="D12" s="23">
        <v>37.1</v>
      </c>
      <c r="E12" s="23">
        <v>13.5</v>
      </c>
      <c r="F12" s="23">
        <v>5.33</v>
      </c>
      <c r="G12" s="23"/>
      <c r="H12" s="23">
        <v>35000</v>
      </c>
      <c r="I12" s="23">
        <v>13000</v>
      </c>
      <c r="J12" s="23">
        <v>1022</v>
      </c>
      <c r="M12" s="15"/>
      <c r="N12" t="s">
        <v>47</v>
      </c>
    </row>
    <row r="13" spans="2:14" ht="12.75" customHeight="1">
      <c r="B13" s="17" t="s">
        <v>19</v>
      </c>
      <c r="C13" s="23">
        <v>44</v>
      </c>
      <c r="D13" s="23">
        <v>37.6</v>
      </c>
      <c r="E13" s="23">
        <v>14.33</v>
      </c>
      <c r="F13" s="23">
        <v>6.75</v>
      </c>
      <c r="G13" s="23"/>
      <c r="H13" s="23">
        <v>22932</v>
      </c>
      <c r="I13" s="23">
        <v>6514</v>
      </c>
      <c r="J13" s="23">
        <v>1121</v>
      </c>
      <c r="M13" s="10"/>
      <c r="N13" t="s">
        <v>48</v>
      </c>
    </row>
    <row r="14" spans="2:10" ht="12.75" customHeight="1">
      <c r="B14" s="17" t="s">
        <v>22</v>
      </c>
      <c r="C14" s="23">
        <v>51.5</v>
      </c>
      <c r="D14" s="23">
        <v>44</v>
      </c>
      <c r="E14" s="23">
        <v>15.1</v>
      </c>
      <c r="F14" s="23">
        <v>6.6</v>
      </c>
      <c r="G14" s="23"/>
      <c r="H14" s="23">
        <v>37988</v>
      </c>
      <c r="I14" s="23">
        <v>14000</v>
      </c>
      <c r="J14" s="23">
        <v>1200</v>
      </c>
    </row>
    <row r="15" spans="2:10" ht="12.75" customHeight="1">
      <c r="B15" s="17" t="s">
        <v>23</v>
      </c>
      <c r="C15" s="23">
        <v>52.2</v>
      </c>
      <c r="D15" s="23">
        <v>43.2</v>
      </c>
      <c r="E15" s="23">
        <v>15.33</v>
      </c>
      <c r="F15" s="23">
        <v>5.25</v>
      </c>
      <c r="G15" s="23"/>
      <c r="H15" s="23">
        <v>44150</v>
      </c>
      <c r="I15" s="23">
        <v>16000</v>
      </c>
      <c r="J15" s="23">
        <v>1234</v>
      </c>
    </row>
    <row r="16" spans="2:10" ht="12.75" customHeight="1">
      <c r="B16" s="16" t="s">
        <v>31</v>
      </c>
      <c r="C16" s="14">
        <v>44.58</v>
      </c>
      <c r="D16" s="14">
        <v>40</v>
      </c>
      <c r="E16" s="14">
        <v>13.94</v>
      </c>
      <c r="F16" s="14">
        <v>5.75</v>
      </c>
      <c r="G16" s="14"/>
      <c r="H16" s="14">
        <v>23369</v>
      </c>
      <c r="I16" s="14">
        <v>6835</v>
      </c>
      <c r="J16" s="14">
        <v>1050</v>
      </c>
    </row>
    <row r="17" spans="2:10" ht="12.75" customHeight="1">
      <c r="B17" s="16" t="s">
        <v>32</v>
      </c>
      <c r="C17" s="14">
        <v>44.58</v>
      </c>
      <c r="D17" s="14">
        <v>37.5</v>
      </c>
      <c r="E17" s="14">
        <v>13</v>
      </c>
      <c r="F17" s="14">
        <v>6.33</v>
      </c>
      <c r="G17" s="14"/>
      <c r="H17" s="14">
        <v>28000</v>
      </c>
      <c r="I17" s="14">
        <v>12000</v>
      </c>
      <c r="J17" s="14">
        <v>937.2</v>
      </c>
    </row>
    <row r="18" spans="2:10" ht="12.75" customHeight="1">
      <c r="B18" s="16" t="s">
        <v>33</v>
      </c>
      <c r="C18" s="14">
        <v>50.08</v>
      </c>
      <c r="D18" s="14">
        <v>40.71</v>
      </c>
      <c r="E18" s="14">
        <v>15</v>
      </c>
      <c r="F18" s="14">
        <v>7</v>
      </c>
      <c r="G18" s="14"/>
      <c r="H18" s="14">
        <v>32000</v>
      </c>
      <c r="I18" s="14">
        <v>13000</v>
      </c>
      <c r="J18" s="14">
        <v>1064</v>
      </c>
    </row>
    <row r="19" spans="2:10" ht="12.75" customHeight="1">
      <c r="B19" s="16" t="s">
        <v>34</v>
      </c>
      <c r="C19" s="14">
        <v>50.33</v>
      </c>
      <c r="D19" s="14">
        <v>42</v>
      </c>
      <c r="E19" s="14">
        <v>14.25</v>
      </c>
      <c r="F19" s="14">
        <v>6.5</v>
      </c>
      <c r="G19" s="14"/>
      <c r="H19" s="14">
        <v>36500</v>
      </c>
      <c r="I19" s="14">
        <v>14350</v>
      </c>
      <c r="J19" s="14">
        <v>1076</v>
      </c>
    </row>
    <row r="20" spans="2:10" ht="12.75" customHeight="1">
      <c r="B20" s="16" t="s">
        <v>35</v>
      </c>
      <c r="C20" s="14">
        <v>41.8</v>
      </c>
      <c r="D20" s="14">
        <v>34.25</v>
      </c>
      <c r="E20" s="14">
        <v>13.3</v>
      </c>
      <c r="F20" s="14">
        <v>6.1</v>
      </c>
      <c r="G20" s="14"/>
      <c r="H20" s="14">
        <v>21780</v>
      </c>
      <c r="I20" s="14">
        <v>8400</v>
      </c>
      <c r="J20" s="14"/>
    </row>
    <row r="21" spans="2:10" ht="12.75" customHeight="1">
      <c r="B21" s="16" t="s">
        <v>36</v>
      </c>
      <c r="C21" s="14">
        <v>44</v>
      </c>
      <c r="D21" s="14">
        <v>34.8</v>
      </c>
      <c r="E21" s="14">
        <v>13.5</v>
      </c>
      <c r="F21" s="14">
        <v>6.5</v>
      </c>
      <c r="G21" s="14"/>
      <c r="H21" s="14">
        <v>22382</v>
      </c>
      <c r="I21" s="14">
        <v>11040</v>
      </c>
      <c r="J21" s="14">
        <v>866</v>
      </c>
    </row>
    <row r="22" spans="2:10" ht="12.75" customHeight="1">
      <c r="B22" s="16" t="s">
        <v>37</v>
      </c>
      <c r="C22" s="14">
        <v>46.5</v>
      </c>
      <c r="D22" s="14">
        <v>39.33</v>
      </c>
      <c r="E22" s="14">
        <v>14.4</v>
      </c>
      <c r="F22" s="14">
        <v>5.25</v>
      </c>
      <c r="G22" s="14"/>
      <c r="H22" s="14">
        <v>33726</v>
      </c>
      <c r="I22" s="14">
        <v>10340</v>
      </c>
      <c r="J22" s="14">
        <v>1006</v>
      </c>
    </row>
    <row r="23" spans="2:10" ht="12.75" customHeight="1">
      <c r="B23" s="16" t="s">
        <v>38</v>
      </c>
      <c r="C23" s="14">
        <v>45</v>
      </c>
      <c r="D23" s="14">
        <v>33</v>
      </c>
      <c r="E23" s="14">
        <v>12.75</v>
      </c>
      <c r="F23" s="14">
        <v>6</v>
      </c>
      <c r="G23" s="14"/>
      <c r="H23" s="14">
        <v>24685</v>
      </c>
      <c r="I23" s="14">
        <v>10689</v>
      </c>
      <c r="J23" s="14">
        <v>900</v>
      </c>
    </row>
    <row r="24" spans="2:10" ht="12.75" customHeight="1">
      <c r="B24" s="16" t="s">
        <v>39</v>
      </c>
      <c r="C24" s="14">
        <v>52.42</v>
      </c>
      <c r="D24" s="14">
        <v>42.08</v>
      </c>
      <c r="E24" s="14">
        <v>15</v>
      </c>
      <c r="F24" s="14">
        <v>6.5</v>
      </c>
      <c r="G24" s="14"/>
      <c r="H24" s="14">
        <v>38570</v>
      </c>
      <c r="I24" s="14">
        <v>14800</v>
      </c>
      <c r="J24" s="14">
        <v>1158</v>
      </c>
    </row>
    <row r="25" spans="2:10" ht="12.75">
      <c r="B25" s="16" t="s">
        <v>40</v>
      </c>
      <c r="C25" s="14">
        <v>45.2</v>
      </c>
      <c r="D25" s="14">
        <v>37.8</v>
      </c>
      <c r="E25" s="14">
        <v>13.75</v>
      </c>
      <c r="F25" s="14">
        <v>6.6</v>
      </c>
      <c r="G25" s="14"/>
      <c r="H25" s="14">
        <v>25225</v>
      </c>
      <c r="I25" s="14">
        <v>8500</v>
      </c>
      <c r="J25" s="14">
        <v>816</v>
      </c>
    </row>
    <row r="26" spans="2:10" ht="12.75">
      <c r="B26" s="16" t="s">
        <v>41</v>
      </c>
      <c r="C26" s="14">
        <v>47</v>
      </c>
      <c r="D26" s="14">
        <v>40.3</v>
      </c>
      <c r="E26" s="14">
        <v>14.6</v>
      </c>
      <c r="F26" s="14">
        <v>6.4</v>
      </c>
      <c r="G26" s="14"/>
      <c r="H26" s="14">
        <v>24000</v>
      </c>
      <c r="I26" s="14">
        <v>11675</v>
      </c>
      <c r="J26" s="14"/>
    </row>
    <row r="27" spans="2:10" ht="12.75">
      <c r="B27" s="16" t="s">
        <v>42</v>
      </c>
      <c r="C27" s="14">
        <v>43</v>
      </c>
      <c r="D27" s="14">
        <v>36.1</v>
      </c>
      <c r="E27" s="14">
        <v>13.8</v>
      </c>
      <c r="F27" s="14">
        <v>6.3</v>
      </c>
      <c r="G27" s="14"/>
      <c r="H27" s="14">
        <v>19836</v>
      </c>
      <c r="I27" s="14">
        <v>7055</v>
      </c>
      <c r="J27" s="14">
        <v>1013</v>
      </c>
    </row>
    <row r="28" spans="2:10" ht="12.75">
      <c r="B28" s="16" t="s">
        <v>43</v>
      </c>
      <c r="C28" s="14">
        <v>50.2</v>
      </c>
      <c r="D28" s="14">
        <v>44.6</v>
      </c>
      <c r="E28" s="14">
        <v>15.6</v>
      </c>
      <c r="F28" s="14">
        <v>6</v>
      </c>
      <c r="G28" s="14"/>
      <c r="H28" s="14">
        <v>30856</v>
      </c>
      <c r="I28" s="14">
        <v>10800</v>
      </c>
      <c r="J28" s="14">
        <v>1184</v>
      </c>
    </row>
    <row r="29" spans="2:10" ht="12.75">
      <c r="B29" s="16" t="s">
        <v>44</v>
      </c>
      <c r="C29" s="14">
        <v>46</v>
      </c>
      <c r="D29" s="14">
        <v>40.8</v>
      </c>
      <c r="E29" s="14">
        <v>13.33</v>
      </c>
      <c r="F29" s="14">
        <v>6.7</v>
      </c>
      <c r="G29" s="14"/>
      <c r="H29" s="14">
        <v>33300</v>
      </c>
      <c r="I29" s="14">
        <v>11330</v>
      </c>
      <c r="J29" s="14">
        <v>1100</v>
      </c>
    </row>
    <row r="30" spans="2:10" ht="13.5" customHeight="1">
      <c r="B30" s="16" t="s">
        <v>45</v>
      </c>
      <c r="C30" s="14">
        <v>48</v>
      </c>
      <c r="D30" s="14">
        <v>39</v>
      </c>
      <c r="E30" s="14">
        <v>13.5</v>
      </c>
      <c r="F30" s="14">
        <v>6.25</v>
      </c>
      <c r="G30" s="14"/>
      <c r="H30" s="14">
        <v>27000</v>
      </c>
      <c r="I30" s="14">
        <v>11800</v>
      </c>
      <c r="J30" s="14"/>
    </row>
    <row r="31" spans="2:10" ht="12.75" customHeight="1">
      <c r="B31" s="16" t="s">
        <v>46</v>
      </c>
      <c r="C31" s="14">
        <v>48.1</v>
      </c>
      <c r="D31" s="14">
        <v>40.2</v>
      </c>
      <c r="E31" s="14">
        <v>14.5</v>
      </c>
      <c r="F31" s="14">
        <v>6</v>
      </c>
      <c r="G31" s="14"/>
      <c r="H31" s="14">
        <v>35000</v>
      </c>
      <c r="I31" s="14">
        <v>11675</v>
      </c>
      <c r="J31" s="14">
        <v>1378</v>
      </c>
    </row>
    <row r="32" spans="2:10" ht="12.75">
      <c r="B32" s="16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6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6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6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6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6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6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6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6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20"/>
      <c r="C41" s="21"/>
      <c r="D41" s="21"/>
      <c r="E41" s="21"/>
      <c r="F41" s="21"/>
      <c r="G41" s="21"/>
      <c r="H41" s="21"/>
      <c r="I41" s="21"/>
      <c r="J41" s="21"/>
    </row>
    <row r="42" spans="2:10" ht="12.75">
      <c r="B42" s="20"/>
      <c r="C42" s="21"/>
      <c r="D42" s="21"/>
      <c r="E42" s="21"/>
      <c r="F42" s="21"/>
      <c r="G42" s="21"/>
      <c r="H42" s="21"/>
      <c r="I42" s="21"/>
      <c r="J42" s="21"/>
    </row>
    <row r="43" spans="2:10" ht="12.75">
      <c r="B43" s="20"/>
      <c r="C43" s="21"/>
      <c r="D43" s="21"/>
      <c r="E43" s="21"/>
      <c r="F43" s="21"/>
      <c r="G43" s="21"/>
      <c r="H43" s="21"/>
      <c r="I43" s="21"/>
      <c r="J43" s="21"/>
    </row>
    <row r="44" spans="2:10" ht="12.75">
      <c r="B44" s="20"/>
      <c r="C44" s="21"/>
      <c r="D44" s="21"/>
      <c r="E44" s="21"/>
      <c r="F44" s="21"/>
      <c r="G44" s="21"/>
      <c r="H44" s="21"/>
      <c r="I44" s="21"/>
      <c r="J44" s="21"/>
    </row>
    <row r="45" spans="2:10" ht="12.75">
      <c r="B45" s="20"/>
      <c r="C45" s="21"/>
      <c r="D45" s="21"/>
      <c r="E45" s="21"/>
      <c r="F45" s="21"/>
      <c r="G45" s="21"/>
      <c r="H45" s="21"/>
      <c r="I45" s="21"/>
      <c r="J45" s="21"/>
    </row>
    <row r="46" spans="2:10" ht="12.75">
      <c r="B46" s="20"/>
      <c r="C46" s="21"/>
      <c r="D46" s="21"/>
      <c r="E46" s="21"/>
      <c r="F46" s="21"/>
      <c r="G46" s="21"/>
      <c r="H46" s="21"/>
      <c r="I46" s="21"/>
      <c r="J46" s="2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39"/>
  <sheetViews>
    <sheetView workbookViewId="0" topLeftCell="A3">
      <selection activeCell="D24" sqref="D24"/>
    </sheetView>
  </sheetViews>
  <sheetFormatPr defaultColWidth="9.140625" defaultRowHeight="12.75"/>
  <cols>
    <col min="4" max="4" width="22.57421875" style="0" customWidth="1"/>
    <col min="5" max="5" width="7.57421875" style="0" customWidth="1"/>
    <col min="12" max="12" width="9.8515625" style="0" customWidth="1"/>
  </cols>
  <sheetData>
    <row r="2" spans="5:10" ht="102.75" customHeight="1"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</row>
    <row r="3" spans="4:10" ht="12.75">
      <c r="D3" s="2" t="str">
        <f>'Boat Data Entry'!B4</f>
        <v>Bavaria 46</v>
      </c>
      <c r="E3" s="3">
        <f>'Boat Data Entry'!E4/POWER('Boat Data Entry'!H4/64,1/3)</f>
        <v>2.0015813726309286</v>
      </c>
      <c r="F3" s="2">
        <f>ROUND('Boat Data Entry'!H4/(2/3*((7/10*'Boat Data Entry'!D4)+(1/3*'Boat Data Entry'!C4))*POWER('Boat Data Entry'!E4,4/3)),1)</f>
        <v>24.1</v>
      </c>
      <c r="G3" s="2">
        <f>ROUND('Boat Data Entry'!I4/'Boat Data Entry'!H4*100,1)</f>
        <v>38.3</v>
      </c>
      <c r="H3" s="2">
        <f>ROUND(SQRT('Boat Data Entry'!D4)*1.34,1)</f>
        <v>8.5</v>
      </c>
      <c r="I3" s="2">
        <f>ROUND(('Boat Data Entry'!H4/2240)/(POWER(0.01*'Boat Data Entry'!D4,3)),0)</f>
        <v>176</v>
      </c>
      <c r="J3" s="2">
        <f>ROUND('Boat Data Entry'!J4/POWER(('Boat Data Entry'!H4/64),2/3),0)</f>
        <v>26</v>
      </c>
    </row>
    <row r="4" spans="4:10" ht="12.75">
      <c r="D4" s="2" t="str">
        <f>'Boat Data Entry'!B5</f>
        <v>Beneteau 50</v>
      </c>
      <c r="E4" s="3">
        <f>'Boat Data Entry'!E5/POWER('Boat Data Entry'!H5/64,1/3)</f>
        <v>1.8738054579020682</v>
      </c>
      <c r="F4" s="2">
        <f>ROUND('Boat Data Entry'!H5/(2/3*((7/10*'Boat Data Entry'!D5)+(1/3*'Boat Data Entry'!C5))*POWER('Boat Data Entry'!E5,4/3)),1)</f>
        <v>26.4</v>
      </c>
      <c r="G4" s="2">
        <f>ROUND('Boat Data Entry'!I5/'Boat Data Entry'!H5*100,1)</f>
        <v>30.1</v>
      </c>
      <c r="H4" s="2">
        <f>ROUND(SQRT('Boat Data Entry'!D5)*1.34,1)</f>
        <v>9</v>
      </c>
      <c r="I4" s="2">
        <f>ROUND(('Boat Data Entry'!H5/2240)/(POWER(0.01*'Boat Data Entry'!D5,3)),0)</f>
        <v>147</v>
      </c>
      <c r="J4" s="2">
        <f>ROUND('Boat Data Entry'!J5/POWER(('Boat Data Entry'!H5/64),2/3),0)</f>
        <v>22</v>
      </c>
    </row>
    <row r="5" spans="4:10" ht="12.75">
      <c r="D5" s="2" t="str">
        <f>'Boat Data Entry'!B6</f>
        <v>Beneteau Oceanis 500</v>
      </c>
      <c r="E5" s="3">
        <f>'Boat Data Entry'!E6/POWER('Boat Data Entry'!H6/64,1/3)</f>
        <v>2.0390405424973164</v>
      </c>
      <c r="F5" s="2">
        <f>ROUND('Boat Data Entry'!H6/(2/3*((7/10*'Boat Data Entry'!D6)+(1/3*'Boat Data Entry'!C6))*POWER('Boat Data Entry'!E6,4/3)),1)</f>
        <v>23</v>
      </c>
      <c r="G5" s="2">
        <f>ROUND('Boat Data Entry'!I6/'Boat Data Entry'!H6*100,1)</f>
        <v>37.6</v>
      </c>
      <c r="H5" s="2">
        <f>ROUND(SQRT('Boat Data Entry'!D6)*1.34,1)</f>
        <v>8.9</v>
      </c>
      <c r="I5" s="2">
        <f>ROUND(('Boat Data Entry'!H6/2240)/(POWER(0.01*'Boat Data Entry'!D6,3)),0)</f>
        <v>145</v>
      </c>
      <c r="J5" s="2">
        <f>ROUND('Boat Data Entry'!J6/POWER(('Boat Data Entry'!H6/64),2/3),0)</f>
        <v>19</v>
      </c>
    </row>
    <row r="6" spans="4:10" ht="12.75">
      <c r="D6" s="2" t="str">
        <f>'Boat Data Entry'!B7</f>
        <v>Jeanneau 47 cc</v>
      </c>
      <c r="E6" s="3">
        <f>'Boat Data Entry'!E7/POWER('Boat Data Entry'!H7/64,1/3)</f>
        <v>1.9333913714031827</v>
      </c>
      <c r="F6" s="2">
        <f>ROUND('Boat Data Entry'!H7/(2/3*((7/10*'Boat Data Entry'!D7)+(1/3*'Boat Data Entry'!C7))*POWER('Boat Data Entry'!E7,4/3)),1)</f>
        <v>27.2</v>
      </c>
      <c r="G6" s="2">
        <f>ROUND('Boat Data Entry'!I7/'Boat Data Entry'!H7*100,1)</f>
        <v>35.4</v>
      </c>
      <c r="H6" s="2">
        <f>ROUND(SQRT('Boat Data Entry'!D7)*1.34,1)</f>
        <v>8.3</v>
      </c>
      <c r="I6" s="2">
        <f>ROUND(('Boat Data Entry'!H7/2240)/(POWER(0.01*'Boat Data Entry'!D7,3)),0)</f>
        <v>217</v>
      </c>
      <c r="J6" s="2">
        <f>ROUND('Boat Data Entry'!J7/POWER(('Boat Data Entry'!H7/64),2/3),0)</f>
        <v>17</v>
      </c>
    </row>
    <row r="7" spans="4:10" ht="12.75">
      <c r="D7" s="2" t="str">
        <f>'Boat Data Entry'!B8</f>
        <v>Francini 45L</v>
      </c>
      <c r="E7" s="3">
        <f>'Boat Data Entry'!E8/POWER('Boat Data Entry'!H8/64,1/3)</f>
        <v>1.6959962490106528</v>
      </c>
      <c r="F7" s="2">
        <f>ROUND('Boat Data Entry'!H8/(2/3*((7/10*'Boat Data Entry'!D8)+(1/3*'Boat Data Entry'!C8))*POWER('Boat Data Entry'!E8,4/3)),1)</f>
        <v>38.1</v>
      </c>
      <c r="G7" s="2">
        <f>ROUND('Boat Data Entry'!I8/'Boat Data Entry'!H8*100,1)</f>
        <v>35.3</v>
      </c>
      <c r="H7" s="2">
        <f>ROUND(SQRT('Boat Data Entry'!D8)*1.34,1)</f>
        <v>8</v>
      </c>
      <c r="I7" s="2">
        <f>ROUND(('Boat Data Entry'!H8/2240)/(POWER(0.01*'Boat Data Entry'!D8,3)),0)</f>
        <v>328</v>
      </c>
      <c r="J7" s="2">
        <f>ROUND('Boat Data Entry'!J8/POWER(('Boat Data Entry'!H8/64),2/3),0)</f>
        <v>18</v>
      </c>
    </row>
    <row r="8" spans="4:10" ht="12.75">
      <c r="D8" s="2" t="str">
        <f>'Boat Data Entry'!B9</f>
        <v>Francini 45S</v>
      </c>
      <c r="E8" s="3">
        <f>'Boat Data Entry'!E9/POWER('Boat Data Entry'!H9/64,1/3)</f>
        <v>1.7354162466965624</v>
      </c>
      <c r="F8" s="2">
        <f>ROUND('Boat Data Entry'!H9/(2/3*((7/10*'Boat Data Entry'!D9)+(1/3*'Boat Data Entry'!C9))*POWER('Boat Data Entry'!E9,4/3)),1)</f>
        <v>35.6</v>
      </c>
      <c r="G8" s="2">
        <f>ROUND('Boat Data Entry'!I9/'Boat Data Entry'!H9*100,1)</f>
        <v>35.7</v>
      </c>
      <c r="H8" s="2">
        <f>ROUND(SQRT('Boat Data Entry'!D9)*1.34,1)</f>
        <v>8</v>
      </c>
      <c r="I8" s="2">
        <f>ROUND(('Boat Data Entry'!H9/2240)/(POWER(0.01*'Boat Data Entry'!D9,3)),0)</f>
        <v>306</v>
      </c>
      <c r="J8" s="2">
        <f>ROUND('Boat Data Entry'!J9/POWER(('Boat Data Entry'!H9/64),2/3),0)</f>
        <v>21</v>
      </c>
    </row>
    <row r="9" spans="4:10" ht="12.75">
      <c r="D9" s="2" t="str">
        <f>'Boat Data Entry'!B10</f>
        <v>NorthWind 47</v>
      </c>
      <c r="E9" s="3">
        <f>'Boat Data Entry'!E10/POWER('Boat Data Entry'!H10/64,1/3)</f>
        <v>1.9613038077448381</v>
      </c>
      <c r="F9" s="2">
        <f>ROUND('Boat Data Entry'!H10/(2/3*((7/10*'Boat Data Entry'!D10)+(1/3*'Boat Data Entry'!C10))*POWER('Boat Data Entry'!E10,4/3)),1)</f>
        <v>26.6</v>
      </c>
      <c r="G9" s="2">
        <f>ROUND('Boat Data Entry'!I10/'Boat Data Entry'!H10*100,1)</f>
        <v>39.2</v>
      </c>
      <c r="H9" s="2">
        <f>ROUND(SQRT('Boat Data Entry'!D10)*1.34,1)</f>
        <v>8.2</v>
      </c>
      <c r="I9" s="2">
        <f>ROUND(('Boat Data Entry'!H10/2240)/(POWER(0.01*'Boat Data Entry'!D10,3)),0)</f>
        <v>227</v>
      </c>
      <c r="J9" s="2">
        <f>ROUND('Boat Data Entry'!J10/POWER(('Boat Data Entry'!H10/64),2/3),0)</f>
        <v>22</v>
      </c>
    </row>
    <row r="10" spans="4:10" ht="12.75">
      <c r="D10" s="2" t="str">
        <f>'Boat Data Entry'!B11</f>
        <v>Westerly Oceanmaster 48</v>
      </c>
      <c r="E10" s="3">
        <f>'Boat Data Entry'!E11/POWER('Boat Data Entry'!H11/64,1/3)</f>
        <v>1.9890739431452158</v>
      </c>
      <c r="F10" s="2">
        <f>ROUND('Boat Data Entry'!H11/(2/3*((7/10*'Boat Data Entry'!D11)+(1/3*'Boat Data Entry'!C11))*POWER('Boat Data Entry'!E11,4/3)),1)</f>
        <v>24.9</v>
      </c>
      <c r="G10" s="2">
        <f>ROUND('Boat Data Entry'!I11/'Boat Data Entry'!H11*100,1)</f>
        <v>41.7</v>
      </c>
      <c r="H10" s="2">
        <f>ROUND(SQRT('Boat Data Entry'!D11)*1.34,1)</f>
        <v>8.7</v>
      </c>
      <c r="I10" s="2">
        <f>ROUND(('Boat Data Entry'!H11/2240)/(POWER(0.01*'Boat Data Entry'!D11,3)),0)</f>
        <v>171</v>
      </c>
      <c r="J10" s="2">
        <f>ROUND('Boat Data Entry'!J11/POWER(('Boat Data Entry'!H11/64),2/3),0)</f>
        <v>18</v>
      </c>
    </row>
    <row r="11" spans="4:10" ht="12.75">
      <c r="D11" s="2" t="str">
        <f>'Boat Data Entry'!B12</f>
        <v>Alden 50</v>
      </c>
      <c r="E11" s="3">
        <f>'Boat Data Entry'!E12/POWER('Boat Data Entry'!H12/64,1/3)</f>
        <v>1.6508378271575515</v>
      </c>
      <c r="F11" s="2">
        <f>ROUND('Boat Data Entry'!H12/(2/3*((7/10*'Boat Data Entry'!D12)+(1/3*'Boat Data Entry'!C12))*POWER('Boat Data Entry'!E12,4/3)),1)</f>
        <v>38.2</v>
      </c>
      <c r="G11" s="2">
        <f>ROUND('Boat Data Entry'!I12/'Boat Data Entry'!H12*100,1)</f>
        <v>37.1</v>
      </c>
      <c r="H11" s="2">
        <f>ROUND(SQRT('Boat Data Entry'!D12)*1.34,1)</f>
        <v>8.2</v>
      </c>
      <c r="I11" s="2">
        <f>ROUND(('Boat Data Entry'!H12/2240)/(POWER(0.01*'Boat Data Entry'!D12,3)),0)</f>
        <v>306</v>
      </c>
      <c r="J11" s="2">
        <f>ROUND('Boat Data Entry'!J12/POWER(('Boat Data Entry'!H12/64),2/3),0)</f>
        <v>15</v>
      </c>
    </row>
    <row r="12" spans="4:10" ht="12.75">
      <c r="D12" s="2" t="str">
        <f>'Boat Data Entry'!B13</f>
        <v>Jeanneau 45DS</v>
      </c>
      <c r="E12" s="3">
        <f>'Boat Data Entry'!E13/POWER('Boat Data Entry'!H13/64,1/3)</f>
        <v>2.0175557183128463</v>
      </c>
      <c r="F12" s="2">
        <f>ROUND('Boat Data Entry'!H13/(2/3*((7/10*'Boat Data Entry'!D13)+(1/3*'Boat Data Entry'!C13))*POWER('Boat Data Entry'!E13,4/3)),1)</f>
        <v>24.1</v>
      </c>
      <c r="G12" s="2">
        <f>ROUND('Boat Data Entry'!I13/'Boat Data Entry'!H13*100,1)</f>
        <v>28.4</v>
      </c>
      <c r="H12" s="2">
        <f>ROUND(SQRT('Boat Data Entry'!D13)*1.34,1)</f>
        <v>8.2</v>
      </c>
      <c r="I12" s="2">
        <f>ROUND(('Boat Data Entry'!H13/2240)/(POWER(0.01*'Boat Data Entry'!D13,3)),0)</f>
        <v>193</v>
      </c>
      <c r="J12" s="2">
        <f>ROUND('Boat Data Entry'!J13/POWER(('Boat Data Entry'!H13/64),2/3),0)</f>
        <v>22</v>
      </c>
    </row>
    <row r="13" spans="4:10" ht="12.75">
      <c r="D13" s="2" t="str">
        <f>'Boat Data Entry'!B14</f>
        <v>Passport Vista 515</v>
      </c>
      <c r="E13" s="3">
        <f>'Boat Data Entry'!E14/POWER('Boat Data Entry'!H14/64,1/3)</f>
        <v>1.7967519664602345</v>
      </c>
      <c r="F13" s="2">
        <f>ROUND('Boat Data Entry'!H14/(2/3*((7/10*'Boat Data Entry'!D14)+(1/3*'Boat Data Entry'!C14))*POWER('Boat Data Entry'!E14,4/3)),1)</f>
        <v>31.8</v>
      </c>
      <c r="G13" s="2">
        <f>ROUND('Boat Data Entry'!I14/'Boat Data Entry'!H14*100,1)</f>
        <v>36.9</v>
      </c>
      <c r="H13" s="2">
        <f>ROUND(SQRT('Boat Data Entry'!D14)*1.34,1)</f>
        <v>8.9</v>
      </c>
      <c r="I13" s="2">
        <f>ROUND(('Boat Data Entry'!H14/2240)/(POWER(0.01*'Boat Data Entry'!D14,3)),0)</f>
        <v>199</v>
      </c>
      <c r="J13" s="2">
        <f>ROUND('Boat Data Entry'!J14/POWER(('Boat Data Entry'!H14/64),2/3),0)</f>
        <v>17</v>
      </c>
    </row>
    <row r="14" spans="4:10" ht="12.75">
      <c r="D14" s="2" t="str">
        <f>'Boat Data Entry'!B15</f>
        <v>Island Packet 485</v>
      </c>
      <c r="E14" s="3">
        <f>'Boat Data Entry'!E15/POWER('Boat Data Entry'!H15/64,1/3)</f>
        <v>1.7349697625575686</v>
      </c>
      <c r="F14" s="2">
        <f>ROUND('Boat Data Entry'!H15/(2/3*((7/10*'Boat Data Entry'!D15)+(1/3*'Boat Data Entry'!C15))*POWER('Boat Data Entry'!E15,4/3)),1)</f>
        <v>36.5</v>
      </c>
      <c r="G14" s="2">
        <f>ROUND('Boat Data Entry'!I15/'Boat Data Entry'!H15*100,1)</f>
        <v>36.2</v>
      </c>
      <c r="H14" s="2">
        <f>ROUND(SQRT('Boat Data Entry'!D15)*1.34,1)</f>
        <v>8.8</v>
      </c>
      <c r="I14" s="2">
        <f>ROUND(('Boat Data Entry'!H15/2240)/(POWER(0.01*'Boat Data Entry'!D15,3)),0)</f>
        <v>244</v>
      </c>
      <c r="J14" s="2">
        <f>ROUND('Boat Data Entry'!J15/POWER(('Boat Data Entry'!H15/64),2/3),0)</f>
        <v>16</v>
      </c>
    </row>
    <row r="15" spans="4:10" ht="12.75">
      <c r="D15" s="2" t="str">
        <f>'Boat Data Entry'!B16</f>
        <v>Beneteau 44cc</v>
      </c>
      <c r="E15" s="3">
        <f>'Boat Data Entry'!E16/POWER('Boat Data Entry'!H16/64,1/3)</f>
        <v>1.9503357831011336</v>
      </c>
      <c r="F15" s="2">
        <f>ROUND('Boat Data Entry'!H16/(2/3*((7/10*'Boat Data Entry'!D16)+(1/3*'Boat Data Entry'!C16))*POWER('Boat Data Entry'!E16,4/3)),1)</f>
        <v>24.4</v>
      </c>
      <c r="G15" s="2">
        <f>ROUND('Boat Data Entry'!I16/'Boat Data Entry'!H16*100,1)</f>
        <v>29.2</v>
      </c>
      <c r="H15" s="2">
        <f>ROUND(SQRT('Boat Data Entry'!D16)*1.34,1)</f>
        <v>8.5</v>
      </c>
      <c r="I15" s="2">
        <f>ROUND(('Boat Data Entry'!H16/2240)/(POWER(0.01*'Boat Data Entry'!D16,3)),0)</f>
        <v>163</v>
      </c>
      <c r="J15" s="2">
        <f>ROUND('Boat Data Entry'!J16/POWER(('Boat Data Entry'!H16/64),2/3),0)</f>
        <v>21</v>
      </c>
    </row>
    <row r="16" spans="4:10" ht="12.75">
      <c r="D16" s="2" t="str">
        <f>'Boat Data Entry'!B17</f>
        <v>Norseman 447cc</v>
      </c>
      <c r="E16" s="3">
        <f>'Boat Data Entry'!E17/POWER('Boat Data Entry'!H17/64,1/3)</f>
        <v>1.712447765621709</v>
      </c>
      <c r="F16" s="2">
        <f>ROUND('Boat Data Entry'!H17/(2/3*((7/10*'Boat Data Entry'!D17)+(1/3*'Boat Data Entry'!C17))*POWER('Boat Data Entry'!E17,4/3)),1)</f>
        <v>33.4</v>
      </c>
      <c r="G16" s="2">
        <f>ROUND('Boat Data Entry'!I17/'Boat Data Entry'!H17*100,1)</f>
        <v>42.9</v>
      </c>
      <c r="H16" s="2">
        <f>ROUND(SQRT('Boat Data Entry'!D17)*1.34,1)</f>
        <v>8.2</v>
      </c>
      <c r="I16" s="2">
        <f>ROUND(('Boat Data Entry'!H17/2240)/(POWER(0.01*'Boat Data Entry'!D17,3)),0)</f>
        <v>237</v>
      </c>
      <c r="J16" s="2">
        <f>ROUND('Boat Data Entry'!J17/POWER(('Boat Data Entry'!H17/64),2/3),0)</f>
        <v>16</v>
      </c>
    </row>
    <row r="17" spans="4:10" ht="12.75">
      <c r="D17" s="2" t="str">
        <f>'Boat Data Entry'!B18</f>
        <v>Taswell 49</v>
      </c>
      <c r="E17" s="3">
        <f>'Boat Data Entry'!E18/POWER('Boat Data Entry'!H18/64,1/3)</f>
        <v>1.8898815748423106</v>
      </c>
      <c r="F17" s="2">
        <f>ROUND('Boat Data Entry'!H18/(2/3*((7/10*'Boat Data Entry'!D18)+(1/3*'Boat Data Entry'!C18))*POWER('Boat Data Entry'!E18,4/3)),1)</f>
        <v>28.7</v>
      </c>
      <c r="G17" s="2">
        <f>ROUND('Boat Data Entry'!I18/'Boat Data Entry'!H18*100,1)</f>
        <v>40.6</v>
      </c>
      <c r="H17" s="2">
        <f>ROUND(SQRT('Boat Data Entry'!D18)*1.34,1)</f>
        <v>8.5</v>
      </c>
      <c r="I17" s="2">
        <f>ROUND(('Boat Data Entry'!H18/2240)/(POWER(0.01*'Boat Data Entry'!D18,3)),0)</f>
        <v>212</v>
      </c>
      <c r="J17" s="2">
        <f>ROUND('Boat Data Entry'!J18/POWER(('Boat Data Entry'!H18/64),2/3),0)</f>
        <v>17</v>
      </c>
    </row>
    <row r="18" spans="4:10" ht="12.75">
      <c r="D18" s="2" t="str">
        <f>'Boat Data Entry'!B19</f>
        <v>FD12</v>
      </c>
      <c r="E18" s="3">
        <f>'Boat Data Entry'!E19/POWER('Boat Data Entry'!H19/64,1/3)</f>
        <v>1.7183458070642066</v>
      </c>
      <c r="F18" s="2">
        <f>ROUND('Boat Data Entry'!H19/(2/3*((7/10*'Boat Data Entry'!D19)+(1/3*'Boat Data Entry'!C19))*POWER('Boat Data Entry'!E19,4/3)),1)</f>
        <v>34.3</v>
      </c>
      <c r="G18" s="2">
        <f>ROUND('Boat Data Entry'!I19/'Boat Data Entry'!H19*100,1)</f>
        <v>39.3</v>
      </c>
      <c r="H18" s="2">
        <f>ROUND(SQRT('Boat Data Entry'!D19)*1.34,1)</f>
        <v>8.7</v>
      </c>
      <c r="I18" s="2">
        <f>ROUND(('Boat Data Entry'!H19/2240)/(POWER(0.01*'Boat Data Entry'!D19,3)),0)</f>
        <v>220</v>
      </c>
      <c r="J18" s="2">
        <f>ROUND('Boat Data Entry'!J19/POWER(('Boat Data Entry'!H19/64),2/3),0)</f>
        <v>16</v>
      </c>
    </row>
    <row r="19" spans="4:10" ht="12.75">
      <c r="D19" s="2" t="str">
        <f>'Boat Data Entry'!B20</f>
        <v>Moody 425cc</v>
      </c>
      <c r="E19" s="3">
        <f>'Boat Data Entry'!E20/POWER('Boat Data Entry'!H20/64,1/3)</f>
        <v>1.9049884219657902</v>
      </c>
      <c r="F19" s="2">
        <f>ROUND('Boat Data Entry'!H20/(2/3*((7/10*'Boat Data Entry'!D20)+(1/3*'Boat Data Entry'!C20))*POWER('Boat Data Entry'!E20,4/3)),1)</f>
        <v>27.3</v>
      </c>
      <c r="G19" s="2">
        <f>ROUND('Boat Data Entry'!I20/'Boat Data Entry'!H20*100,1)</f>
        <v>38.6</v>
      </c>
      <c r="H19" s="2">
        <f>ROUND(SQRT('Boat Data Entry'!D20)*1.34,1)</f>
        <v>7.8</v>
      </c>
      <c r="I19" s="2">
        <f>ROUND(('Boat Data Entry'!H20/2240)/(POWER(0.01*'Boat Data Entry'!D20,3)),0)</f>
        <v>242</v>
      </c>
      <c r="J19" s="2">
        <f>ROUND('Boat Data Entry'!J20/POWER(('Boat Data Entry'!H20/64),2/3),0)</f>
        <v>0</v>
      </c>
    </row>
    <row r="20" spans="4:10" ht="12.75">
      <c r="D20" s="2" t="str">
        <f>'Boat Data Entry'!B21</f>
        <v>Hylas 44 cc</v>
      </c>
      <c r="E20" s="3">
        <f>'Boat Data Entry'!E21/POWER('Boat Data Entry'!H21/64,1/3)</f>
        <v>1.916140995752087</v>
      </c>
      <c r="F20" s="2">
        <f>ROUND('Boat Data Entry'!H21/(2/3*((7/10*'Boat Data Entry'!D21)+(1/3*'Boat Data Entry'!C21))*POWER('Boat Data Entry'!E21,4/3)),1)</f>
        <v>26.8</v>
      </c>
      <c r="G20" s="2">
        <f>ROUND('Boat Data Entry'!I21/'Boat Data Entry'!H21*100,1)</f>
        <v>49.3</v>
      </c>
      <c r="H20" s="2">
        <f>ROUND(SQRT('Boat Data Entry'!D21)*1.34,1)</f>
        <v>7.9</v>
      </c>
      <c r="I20" s="2">
        <f>ROUND(('Boat Data Entry'!H21/2240)/(POWER(0.01*'Boat Data Entry'!D21,3)),0)</f>
        <v>237</v>
      </c>
      <c r="J20" s="2">
        <f>ROUND('Boat Data Entry'!J21/POWER(('Boat Data Entry'!H21/64),2/3),0)</f>
        <v>17</v>
      </c>
    </row>
    <row r="21" spans="4:10" ht="12.75">
      <c r="D21" s="2" t="str">
        <f>'Boat Data Entry'!B22</f>
        <v>Moody 47 cc</v>
      </c>
      <c r="E21" s="3">
        <f>'Boat Data Entry'!E22/POWER('Boat Data Entry'!H22/64,1/3)</f>
        <v>1.7827928002389084</v>
      </c>
      <c r="F21" s="2">
        <f>ROUND('Boat Data Entry'!H22/(2/3*((7/10*'Boat Data Entry'!D22)+(1/3*'Boat Data Entry'!C22))*POWER('Boat Data Entry'!E22,4/3)),1)</f>
        <v>33.6</v>
      </c>
      <c r="G21" s="2">
        <f>ROUND('Boat Data Entry'!I22/'Boat Data Entry'!H22*100,1)</f>
        <v>30.7</v>
      </c>
      <c r="H21" s="2">
        <f>ROUND(SQRT('Boat Data Entry'!D22)*1.34,1)</f>
        <v>8.4</v>
      </c>
      <c r="I21" s="2">
        <f>ROUND(('Boat Data Entry'!H22/2240)/(POWER(0.01*'Boat Data Entry'!D22,3)),0)</f>
        <v>247</v>
      </c>
      <c r="J21" s="2">
        <f>ROUND('Boat Data Entry'!J22/POWER(('Boat Data Entry'!H22/64),2/3),0)</f>
        <v>15</v>
      </c>
    </row>
    <row r="22" spans="4:10" ht="12.75">
      <c r="D22" s="2" t="str">
        <f>'Boat Data Entry'!B23</f>
        <v>Bruce Roberts 45</v>
      </c>
      <c r="E22" s="3">
        <f>'Boat Data Entry'!E23/POWER('Boat Data Entry'!H23/64,1/3)</f>
        <v>1.751563146516252</v>
      </c>
      <c r="F22" s="2">
        <f>ROUND('Boat Data Entry'!H23/(2/3*((7/10*'Boat Data Entry'!D23)+(1/3*'Boat Data Entry'!C23))*POWER('Boat Data Entry'!E23,4/3)),1)</f>
        <v>32.6</v>
      </c>
      <c r="G22" s="2">
        <f>ROUND('Boat Data Entry'!I23/'Boat Data Entry'!H23*100,1)</f>
        <v>43.3</v>
      </c>
      <c r="H22" s="2">
        <f>ROUND(SQRT('Boat Data Entry'!D23)*1.34,1)</f>
        <v>7.7</v>
      </c>
      <c r="I22" s="2">
        <f>ROUND(('Boat Data Entry'!H23/2240)/(POWER(0.01*'Boat Data Entry'!D23,3)),0)</f>
        <v>307</v>
      </c>
      <c r="J22" s="2">
        <f>ROUND('Boat Data Entry'!J23/POWER(('Boat Data Entry'!H23/64),2/3),0)</f>
        <v>17</v>
      </c>
    </row>
    <row r="23" spans="4:10" ht="12.75">
      <c r="D23" s="2" t="str">
        <f>'Boat Data Entry'!B24</f>
        <v>Tayana 52 cc</v>
      </c>
      <c r="E23" s="3">
        <f>'Boat Data Entry'!E24/POWER('Boat Data Entry'!H24/64,1/3)</f>
        <v>1.7758299275821383</v>
      </c>
      <c r="F23" s="2">
        <f>ROUND('Boat Data Entry'!H24/(2/3*((7/10*'Boat Data Entry'!D24)+(1/3*'Boat Data Entry'!C24))*POWER('Boat Data Entry'!E24,4/3)),1)</f>
        <v>33.3</v>
      </c>
      <c r="G23" s="2">
        <f>ROUND('Boat Data Entry'!I24/'Boat Data Entry'!H24*100,1)</f>
        <v>38.4</v>
      </c>
      <c r="H23" s="2">
        <f>ROUND(SQRT('Boat Data Entry'!D24)*1.34,1)</f>
        <v>8.7</v>
      </c>
      <c r="I23" s="2">
        <f>ROUND(('Boat Data Entry'!H24/2240)/(POWER(0.01*'Boat Data Entry'!D24,3)),0)</f>
        <v>231</v>
      </c>
      <c r="J23" s="2">
        <f>ROUND('Boat Data Entry'!J24/POWER(('Boat Data Entry'!H24/64),2/3),0)</f>
        <v>16</v>
      </c>
    </row>
    <row r="24" spans="4:10" ht="12.75">
      <c r="D24" s="2" t="str">
        <f>'Boat Data Entry'!B25</f>
        <v>Morgan 45</v>
      </c>
      <c r="E24" s="3">
        <f>'Boat Data Entry'!E25/POWER('Boat Data Entry'!H25/64,1/3)</f>
        <v>1.8753642430051771</v>
      </c>
      <c r="F24" s="2">
        <f>ROUND('Boat Data Entry'!H25/(2/3*((7/10*'Boat Data Entry'!D25)+(1/3*'Boat Data Entry'!C25))*POWER('Boat Data Entry'!E25,4/3)),1)</f>
        <v>27.7</v>
      </c>
      <c r="G24" s="2">
        <f>ROUND('Boat Data Entry'!I25/'Boat Data Entry'!H25*100,1)</f>
        <v>33.7</v>
      </c>
      <c r="H24" s="2">
        <f>ROUND(SQRT('Boat Data Entry'!D25)*1.34,1)</f>
        <v>8.2</v>
      </c>
      <c r="I24" s="2">
        <f>ROUND(('Boat Data Entry'!H25/2240)/(POWER(0.01*'Boat Data Entry'!D25,3)),0)</f>
        <v>209</v>
      </c>
      <c r="J24" s="2">
        <f>ROUND('Boat Data Entry'!J25/POWER(('Boat Data Entry'!H25/64),2/3),0)</f>
        <v>15</v>
      </c>
    </row>
    <row r="25" spans="4:10" ht="12.75">
      <c r="D25" s="2" t="str">
        <f>'Boat Data Entry'!B26</f>
        <v>Tayana 47</v>
      </c>
      <c r="E25" s="3">
        <f>'Boat Data Entry'!E26/POWER('Boat Data Entry'!H26/64,1/3)</f>
        <v>2.0246149211038538</v>
      </c>
      <c r="F25" s="2">
        <f>ROUND('Boat Data Entry'!H26/(2/3*((7/10*'Boat Data Entry'!D26)+(1/3*'Boat Data Entry'!C26))*POWER('Boat Data Entry'!E26,4/3)),1)</f>
        <v>23</v>
      </c>
      <c r="G25" s="2">
        <f>ROUND('Boat Data Entry'!I26/'Boat Data Entry'!H26*100,1)</f>
        <v>48.6</v>
      </c>
      <c r="H25" s="2">
        <f>ROUND(SQRT('Boat Data Entry'!D26)*1.34,1)</f>
        <v>8.5</v>
      </c>
      <c r="I25" s="2">
        <f>ROUND(('Boat Data Entry'!H26/2240)/(POWER(0.01*'Boat Data Entry'!D26,3)),0)</f>
        <v>164</v>
      </c>
      <c r="J25" s="2">
        <f>ROUND('Boat Data Entry'!J26/POWER(('Boat Data Entry'!H26/64),2/3),0)</f>
        <v>0</v>
      </c>
    </row>
    <row r="26" spans="4:10" ht="12.75">
      <c r="D26" s="2" t="str">
        <f>'Boat Data Entry'!B27</f>
        <v>Benetteau Oceanis 430</v>
      </c>
      <c r="E26" s="3">
        <f>'Boat Data Entry'!E27/POWER('Boat Data Entry'!H27/64,1/3)</f>
        <v>2.0391744353901378</v>
      </c>
      <c r="F26" s="2">
        <f>ROUND('Boat Data Entry'!H27/(2/3*((7/10*'Boat Data Entry'!D27)+(1/3*'Boat Data Entry'!C27))*POWER('Boat Data Entry'!E27,4/3)),1)</f>
        <v>22.7</v>
      </c>
      <c r="G26" s="2">
        <f>ROUND('Boat Data Entry'!I27/'Boat Data Entry'!H27*100,1)</f>
        <v>35.6</v>
      </c>
      <c r="H26" s="2">
        <f>ROUND(SQRT('Boat Data Entry'!D27)*1.34,1)</f>
        <v>8.1</v>
      </c>
      <c r="I26" s="2">
        <f>ROUND(('Boat Data Entry'!H27/2240)/(POWER(0.01*'Boat Data Entry'!D27,3)),0)</f>
        <v>188</v>
      </c>
      <c r="J26" s="2">
        <f>ROUND('Boat Data Entry'!J27/POWER(('Boat Data Entry'!H27/64),2/3),0)</f>
        <v>22</v>
      </c>
    </row>
    <row r="27" spans="4:10" ht="12.75">
      <c r="D27" s="2" t="str">
        <f>'Boat Data Entry'!B28</f>
        <v>Benetteau Oceanis 510</v>
      </c>
      <c r="E27" s="3">
        <f>'Boat Data Entry'!E28/POWER('Boat Data Entry'!H28/64,1/3)</f>
        <v>1.9894729917814786</v>
      </c>
      <c r="F27" s="2">
        <f>ROUND('Boat Data Entry'!H28/(2/3*((7/10*'Boat Data Entry'!D28)+(1/3*'Boat Data Entry'!C28))*POWER('Boat Data Entry'!E28,4/3)),1)</f>
        <v>24.8</v>
      </c>
      <c r="G27" s="2">
        <f>ROUND('Boat Data Entry'!I28/'Boat Data Entry'!H28*100,1)</f>
        <v>35</v>
      </c>
      <c r="H27" s="2">
        <f>ROUND(SQRT('Boat Data Entry'!D28)*1.34,1)</f>
        <v>8.9</v>
      </c>
      <c r="I27" s="2">
        <f>ROUND(('Boat Data Entry'!H28/2240)/(POWER(0.01*'Boat Data Entry'!D28,3)),0)</f>
        <v>155</v>
      </c>
      <c r="J27" s="2">
        <f>ROUND('Boat Data Entry'!J28/POWER(('Boat Data Entry'!H28/64),2/3),0)</f>
        <v>19</v>
      </c>
    </row>
    <row r="28" spans="4:10" ht="12.75">
      <c r="D28" s="2" t="str">
        <f>'Boat Data Entry'!B29</f>
        <v>Kelly Peterson 46</v>
      </c>
      <c r="E28" s="3">
        <f>'Boat Data Entry'!E29/POWER('Boat Data Entry'!H29/64,1/3)</f>
        <v>1.657328999424445</v>
      </c>
      <c r="F28" s="2">
        <f>ROUND('Boat Data Entry'!H29/(2/3*((7/10*'Boat Data Entry'!D29)+(1/3*'Boat Data Entry'!C29))*POWER('Boat Data Entry'!E29,4/3)),1)</f>
        <v>36</v>
      </c>
      <c r="G28" s="2">
        <f>ROUND('Boat Data Entry'!I29/'Boat Data Entry'!H29*100,1)</f>
        <v>34</v>
      </c>
      <c r="H28" s="2">
        <f>ROUND(SQRT('Boat Data Entry'!D29)*1.34,1)</f>
        <v>8.6</v>
      </c>
      <c r="I28" s="2">
        <f>ROUND(('Boat Data Entry'!H29/2240)/(POWER(0.01*'Boat Data Entry'!D29,3)),0)</f>
        <v>219</v>
      </c>
      <c r="J28" s="2">
        <f>ROUND('Boat Data Entry'!J29/POWER(('Boat Data Entry'!H29/64),2/3),0)</f>
        <v>17</v>
      </c>
    </row>
    <row r="29" spans="4:10" ht="12.75">
      <c r="D29" s="2" t="str">
        <f>'Boat Data Entry'!B30</f>
        <v>Celestial Custom 48</v>
      </c>
      <c r="E29" s="3">
        <f>'Boat Data Entry'!E30/POWER('Boat Data Entry'!H30/64,1/3)</f>
        <v>1.8000000000000003</v>
      </c>
      <c r="F29" s="2">
        <f>ROUND('Boat Data Entry'!H30/(2/3*((7/10*'Boat Data Entry'!D30)+(1/3*'Boat Data Entry'!C30))*POWER('Boat Data Entry'!E30,4/3)),1)</f>
        <v>29.1</v>
      </c>
      <c r="G29" s="2">
        <f>ROUND('Boat Data Entry'!I30/'Boat Data Entry'!H30*100,1)</f>
        <v>43.7</v>
      </c>
      <c r="H29" s="2">
        <f>ROUND(SQRT('Boat Data Entry'!D30)*1.34,1)</f>
        <v>8.4</v>
      </c>
      <c r="I29" s="2">
        <f>ROUND(('Boat Data Entry'!H30/2240)/(POWER(0.01*'Boat Data Entry'!D30,3)),0)</f>
        <v>203</v>
      </c>
      <c r="J29" s="2">
        <f>ROUND('Boat Data Entry'!J30/POWER(('Boat Data Entry'!H30/64),2/3),0)</f>
        <v>0</v>
      </c>
    </row>
    <row r="30" spans="4:10" ht="12.75">
      <c r="D30" s="2" t="str">
        <f>'Boat Data Entry'!B31</f>
        <v>Tayana 48</v>
      </c>
      <c r="E30" s="3">
        <f>'Boat Data Entry'!E31/POWER('Boat Data Entry'!H31/64,1/3)</f>
        <v>1.7731221106507036</v>
      </c>
      <c r="F30" s="2">
        <f>ROUND('Boat Data Entry'!H31/(2/3*((7/10*'Boat Data Entry'!D31)+(1/3*'Boat Data Entry'!C31))*POWER('Boat Data Entry'!E31,4/3)),1)</f>
        <v>33.6</v>
      </c>
      <c r="G30" s="2">
        <f>ROUND('Boat Data Entry'!I31/'Boat Data Entry'!H31*100,1)</f>
        <v>33.4</v>
      </c>
      <c r="H30" s="2">
        <f>ROUND(SQRT('Boat Data Entry'!D31)*1.34,1)</f>
        <v>8.5</v>
      </c>
      <c r="I30" s="2">
        <f>ROUND(('Boat Data Entry'!H31/2240)/(POWER(0.01*'Boat Data Entry'!D31,3)),0)</f>
        <v>241</v>
      </c>
      <c r="J30" s="2">
        <f>ROUND('Boat Data Entry'!J31/POWER(('Boat Data Entry'!H31/64),2/3),0)</f>
        <v>21</v>
      </c>
    </row>
    <row r="31" spans="4:10" ht="12.75">
      <c r="D31" s="2">
        <f>'Boat Data Entry'!B32</f>
        <v>0</v>
      </c>
      <c r="E31" s="3" t="e">
        <f>'Boat Data Entry'!E32/POWER('Boat Data Entry'!H32/64,1/3)</f>
        <v>#DIV/0!</v>
      </c>
      <c r="F31" s="2" t="e">
        <f>ROUND('Boat Data Entry'!H32/(2/3*((7/10*'Boat Data Entry'!D32)+(1/3*'Boat Data Entry'!C32))*POWER('Boat Data Entry'!E32,4/3)),1)</f>
        <v>#DIV/0!</v>
      </c>
      <c r="G31" s="2" t="e">
        <f>ROUND('Boat Data Entry'!I32/'Boat Data Entry'!H32*100,1)</f>
        <v>#DIV/0!</v>
      </c>
      <c r="H31" s="2">
        <f>ROUND(SQRT('Boat Data Entry'!D32)*1.34,1)</f>
        <v>0</v>
      </c>
      <c r="I31" s="2" t="e">
        <f>ROUND(('Boat Data Entry'!H32/2240)/(POWER(0.01*'Boat Data Entry'!D32,3)),0)</f>
        <v>#DIV/0!</v>
      </c>
      <c r="J31" s="2" t="e">
        <f>ROUND('Boat Data Entry'!J32/POWER(('Boat Data Entry'!H32/64),2/3),0)</f>
        <v>#DIV/0!</v>
      </c>
    </row>
    <row r="32" spans="4:10" ht="12.75">
      <c r="D32" s="2">
        <f>'Boat Data Entry'!B33</f>
        <v>0</v>
      </c>
      <c r="E32" s="3" t="e">
        <f>'Boat Data Entry'!E33/POWER('Boat Data Entry'!H33/64,1/3)</f>
        <v>#DIV/0!</v>
      </c>
      <c r="F32" s="2" t="e">
        <f>ROUND('Boat Data Entry'!H33/(2/3*((7/10*'Boat Data Entry'!D33)+(1/3*'Boat Data Entry'!C33))*POWER('Boat Data Entry'!E33,4/3)),1)</f>
        <v>#DIV/0!</v>
      </c>
      <c r="G32" s="2" t="e">
        <f>ROUND('Boat Data Entry'!I33/'Boat Data Entry'!H33*100,1)</f>
        <v>#DIV/0!</v>
      </c>
      <c r="H32" s="2">
        <f>ROUND(SQRT('Boat Data Entry'!D33)*1.34,1)</f>
        <v>0</v>
      </c>
      <c r="I32" s="2" t="e">
        <f>ROUND(('Boat Data Entry'!H33/2240)/(POWER(0.01*'Boat Data Entry'!D33,3)),0)</f>
        <v>#DIV/0!</v>
      </c>
      <c r="J32" s="2" t="e">
        <f>ROUND('Boat Data Entry'!J33/POWER(('Boat Data Entry'!H33/64),2/3),0)</f>
        <v>#DIV/0!</v>
      </c>
    </row>
    <row r="33" spans="4:10" ht="12.75">
      <c r="D33" s="2">
        <f>'Boat Data Entry'!B34</f>
        <v>0</v>
      </c>
      <c r="E33" s="3" t="e">
        <f>'Boat Data Entry'!E34/POWER('Boat Data Entry'!H34/64,1/3)</f>
        <v>#DIV/0!</v>
      </c>
      <c r="F33" s="2" t="e">
        <f>ROUND('Boat Data Entry'!H34/(2/3*((7/10*'Boat Data Entry'!D34)+(1/3*'Boat Data Entry'!C34))*POWER('Boat Data Entry'!E34,4/3)),1)</f>
        <v>#DIV/0!</v>
      </c>
      <c r="G33" s="2" t="e">
        <f>ROUND('Boat Data Entry'!I34/'Boat Data Entry'!H34*100,1)</f>
        <v>#DIV/0!</v>
      </c>
      <c r="H33" s="2">
        <f>ROUND(SQRT('Boat Data Entry'!D34)*1.34,1)</f>
        <v>0</v>
      </c>
      <c r="I33" s="2" t="e">
        <f>ROUND(('Boat Data Entry'!H34/2240)/(POWER(0.01*'Boat Data Entry'!D34,3)),0)</f>
        <v>#DIV/0!</v>
      </c>
      <c r="J33" s="2" t="e">
        <f>ROUND('Boat Data Entry'!J34/POWER(('Boat Data Entry'!H34/64),2/3),0)</f>
        <v>#DIV/0!</v>
      </c>
    </row>
    <row r="34" spans="4:10" ht="12.75">
      <c r="D34" s="2">
        <f>'Boat Data Entry'!B35</f>
        <v>0</v>
      </c>
      <c r="E34" s="3" t="e">
        <f>'Boat Data Entry'!E35/POWER('Boat Data Entry'!H35/64,1/3)</f>
        <v>#DIV/0!</v>
      </c>
      <c r="F34" s="2" t="e">
        <f>ROUND('Boat Data Entry'!H35/(2/3*((7/10*'Boat Data Entry'!D35)+(1/3*'Boat Data Entry'!C35))*POWER('Boat Data Entry'!E35,4/3)),1)</f>
        <v>#DIV/0!</v>
      </c>
      <c r="G34" s="2" t="e">
        <f>ROUND('Boat Data Entry'!I35/'Boat Data Entry'!H35*100,1)</f>
        <v>#DIV/0!</v>
      </c>
      <c r="H34" s="2">
        <f>ROUND(SQRT('Boat Data Entry'!D35)*1.34,1)</f>
        <v>0</v>
      </c>
      <c r="I34" s="2" t="e">
        <f>ROUND(('Boat Data Entry'!H35/2240)/(POWER(0.01*'Boat Data Entry'!D35,3)),0)</f>
        <v>#DIV/0!</v>
      </c>
      <c r="J34" s="2" t="e">
        <f>ROUND('Boat Data Entry'!J35/POWER(('Boat Data Entry'!H35/64),2/3),0)</f>
        <v>#DIV/0!</v>
      </c>
    </row>
    <row r="35" spans="4:10" ht="12.75">
      <c r="D35" s="2">
        <f>'Boat Data Entry'!B36</f>
        <v>0</v>
      </c>
      <c r="E35" s="3" t="e">
        <f>'Boat Data Entry'!E36/POWER('Boat Data Entry'!H36/64,1/3)</f>
        <v>#DIV/0!</v>
      </c>
      <c r="F35" s="2" t="e">
        <f>ROUND('Boat Data Entry'!H36/(2/3*((7/10*'Boat Data Entry'!D36)+(1/3*'Boat Data Entry'!C36))*POWER('Boat Data Entry'!E36,4/3)),1)</f>
        <v>#DIV/0!</v>
      </c>
      <c r="G35" s="2" t="e">
        <f>ROUND('Boat Data Entry'!I36/'Boat Data Entry'!H36*100,1)</f>
        <v>#DIV/0!</v>
      </c>
      <c r="H35" s="2">
        <f>ROUND(SQRT('Boat Data Entry'!D36)*1.34,1)</f>
        <v>0</v>
      </c>
      <c r="I35" s="2" t="e">
        <f>ROUND(('Boat Data Entry'!H36/2240)/(POWER(0.01*'Boat Data Entry'!D36,3)),0)</f>
        <v>#DIV/0!</v>
      </c>
      <c r="J35" s="2" t="e">
        <f>ROUND('Boat Data Entry'!J36/POWER(('Boat Data Entry'!H36/64),2/3),0)</f>
        <v>#DIV/0!</v>
      </c>
    </row>
    <row r="36" spans="4:10" ht="12.75">
      <c r="D36" s="2">
        <f>'Boat Data Entry'!B37</f>
        <v>0</v>
      </c>
      <c r="E36" s="3" t="e">
        <f>'Boat Data Entry'!E37/POWER('Boat Data Entry'!H37/64,1/3)</f>
        <v>#DIV/0!</v>
      </c>
      <c r="F36" s="2" t="e">
        <f>ROUND('Boat Data Entry'!H37/(2/3*((7/10*'Boat Data Entry'!D37)+(1/3*'Boat Data Entry'!C37))*POWER('Boat Data Entry'!E37,4/3)),1)</f>
        <v>#DIV/0!</v>
      </c>
      <c r="G36" s="2" t="e">
        <f>ROUND('Boat Data Entry'!I37/'Boat Data Entry'!H37*100,1)</f>
        <v>#DIV/0!</v>
      </c>
      <c r="H36" s="2">
        <f>ROUND(SQRT('Boat Data Entry'!D37)*1.34,1)</f>
        <v>0</v>
      </c>
      <c r="I36" s="2" t="e">
        <f>ROUND(('Boat Data Entry'!H37/2240)/(POWER(0.01*'Boat Data Entry'!D37,3)),0)</f>
        <v>#DIV/0!</v>
      </c>
      <c r="J36" s="2" t="e">
        <f>ROUND('Boat Data Entry'!J37/POWER(('Boat Data Entry'!H37/64),2/3),0)</f>
        <v>#DIV/0!</v>
      </c>
    </row>
    <row r="37" spans="4:10" ht="12.75">
      <c r="D37" s="2">
        <f>'Boat Data Entry'!B38</f>
        <v>0</v>
      </c>
      <c r="E37" s="3" t="e">
        <f>'Boat Data Entry'!E38/POWER('Boat Data Entry'!H38/64,1/3)</f>
        <v>#DIV/0!</v>
      </c>
      <c r="F37" s="2" t="e">
        <f>ROUND('Boat Data Entry'!H38/(2/3*((7/10*'Boat Data Entry'!D38)+(1/3*'Boat Data Entry'!C38))*POWER('Boat Data Entry'!E38,4/3)),1)</f>
        <v>#DIV/0!</v>
      </c>
      <c r="G37" s="2" t="e">
        <f>ROUND('Boat Data Entry'!I38/'Boat Data Entry'!H38*100,1)</f>
        <v>#DIV/0!</v>
      </c>
      <c r="H37" s="2">
        <f>ROUND(SQRT('Boat Data Entry'!D38)*1.34,1)</f>
        <v>0</v>
      </c>
      <c r="I37" s="2" t="e">
        <f>ROUND(('Boat Data Entry'!H38/2240)/(POWER(0.01*'Boat Data Entry'!D38,3)),0)</f>
        <v>#DIV/0!</v>
      </c>
      <c r="J37" s="2" t="e">
        <f>ROUND('Boat Data Entry'!J38/POWER(('Boat Data Entry'!H38/64),2/3),0)</f>
        <v>#DIV/0!</v>
      </c>
    </row>
    <row r="38" spans="4:10" ht="12.75">
      <c r="D38" s="2">
        <f>'Boat Data Entry'!B39</f>
        <v>0</v>
      </c>
      <c r="E38" s="3" t="e">
        <f>'Boat Data Entry'!E39/POWER('Boat Data Entry'!H39/64,1/3)</f>
        <v>#DIV/0!</v>
      </c>
      <c r="F38" s="2" t="e">
        <f>ROUND('Boat Data Entry'!H39/(2/3*((7/10*'Boat Data Entry'!D39)+(1/3*'Boat Data Entry'!C39))*POWER('Boat Data Entry'!E39,4/3)),1)</f>
        <v>#DIV/0!</v>
      </c>
      <c r="G38" s="2" t="e">
        <f>ROUND('Boat Data Entry'!I39/'Boat Data Entry'!H39*100,1)</f>
        <v>#DIV/0!</v>
      </c>
      <c r="H38" s="2">
        <f>ROUND(SQRT('Boat Data Entry'!D39)*1.34,1)</f>
        <v>0</v>
      </c>
      <c r="I38" s="2" t="e">
        <f>ROUND(('Boat Data Entry'!H39/2240)/(POWER(0.01*'Boat Data Entry'!D39,3)),0)</f>
        <v>#DIV/0!</v>
      </c>
      <c r="J38" s="2" t="e">
        <f>ROUND('Boat Data Entry'!J39/POWER(('Boat Data Entry'!H39/64),2/3),0)</f>
        <v>#DIV/0!</v>
      </c>
    </row>
    <row r="39" spans="4:10" ht="12.75">
      <c r="D39" s="2">
        <f>'Boat Data Entry'!B40</f>
        <v>0</v>
      </c>
      <c r="E39" s="3" t="e">
        <f>'Boat Data Entry'!E40/POWER('Boat Data Entry'!H40/64,1/3)</f>
        <v>#DIV/0!</v>
      </c>
      <c r="F39" s="2" t="e">
        <f>ROUND('Boat Data Entry'!H40/(2/3*((7/10*'Boat Data Entry'!D40)+(1/3*'Boat Data Entry'!C40))*POWER('Boat Data Entry'!E40,4/3)),1)</f>
        <v>#DIV/0!</v>
      </c>
      <c r="G39" s="2" t="e">
        <f>ROUND('Boat Data Entry'!I40/'Boat Data Entry'!H40*100,1)</f>
        <v>#DIV/0!</v>
      </c>
      <c r="H39" s="2">
        <f>ROUND(SQRT('Boat Data Entry'!D40)*1.34,1)</f>
        <v>0</v>
      </c>
      <c r="I39" s="2" t="e">
        <f>ROUND(('Boat Data Entry'!H40/2240)/(POWER(0.01*'Boat Data Entry'!D40,3)),0)</f>
        <v>#DIV/0!</v>
      </c>
      <c r="J39" s="2" t="e">
        <f>ROUND('Boat Data Entry'!J40/POWER(('Boat Data Entry'!H40/64),2/3),0)</f>
        <v>#DIV/0!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J29" sqref="J29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P31" sqref="P3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L38" sqref="L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H41" sqref="H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N35" sqref="N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</dc:creator>
  <cp:keywords/>
  <dc:description/>
  <cp:lastModifiedBy>Peter</cp:lastModifiedBy>
  <dcterms:created xsi:type="dcterms:W3CDTF">2010-08-26T13:50:36Z</dcterms:created>
  <dcterms:modified xsi:type="dcterms:W3CDTF">2011-07-21T22:15:33Z</dcterms:modified>
  <cp:category/>
  <cp:version/>
  <cp:contentType/>
  <cp:contentStatus/>
</cp:coreProperties>
</file>